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  <sheet name="Лист1 (3)" sheetId="5" r:id="rId4"/>
    <sheet name="Лист1 по шт" sheetId="4" r:id="rId5"/>
  </sheets>
  <calcPr calcId="124519"/>
</workbook>
</file>

<file path=xl/calcChain.xml><?xml version="1.0" encoding="utf-8"?>
<calcChain xmlns="http://schemas.openxmlformats.org/spreadsheetml/2006/main">
  <c r="C20" i="3"/>
  <c r="B20"/>
  <c r="D16"/>
  <c r="D14"/>
  <c r="E30" i="4"/>
  <c r="E77"/>
  <c r="G77"/>
  <c r="C48"/>
  <c r="B48"/>
  <c r="E48" s="1"/>
  <c r="C47"/>
  <c r="F47" s="1"/>
  <c r="B47"/>
  <c r="E47" s="1"/>
  <c r="C46"/>
  <c r="F46" s="1"/>
  <c r="B46"/>
  <c r="E46" s="1"/>
  <c r="C45"/>
  <c r="B45"/>
  <c r="E45" s="1"/>
  <c r="C43"/>
  <c r="F43" s="1"/>
  <c r="B43"/>
  <c r="E43" s="1"/>
  <c r="C42"/>
  <c r="F42" s="1"/>
  <c r="B42"/>
  <c r="E42" s="1"/>
  <c r="C41"/>
  <c r="F41" s="1"/>
  <c r="B41"/>
  <c r="E41" s="1"/>
  <c r="C44"/>
  <c r="F44" s="1"/>
  <c r="B44"/>
  <c r="B80" i="5"/>
  <c r="I76"/>
  <c r="I77" s="1"/>
  <c r="H76"/>
  <c r="F76"/>
  <c r="E76"/>
  <c r="C76"/>
  <c r="L76" s="1"/>
  <c r="B76"/>
  <c r="K76" s="1"/>
  <c r="M75"/>
  <c r="L75"/>
  <c r="K75"/>
  <c r="J75"/>
  <c r="G75"/>
  <c r="D75"/>
  <c r="M74"/>
  <c r="L74"/>
  <c r="K74"/>
  <c r="J74"/>
  <c r="G74"/>
  <c r="D74"/>
  <c r="M73"/>
  <c r="L73"/>
  <c r="K73"/>
  <c r="J73"/>
  <c r="J76" s="1"/>
  <c r="G73"/>
  <c r="G76" s="1"/>
  <c r="D73"/>
  <c r="D76" s="1"/>
  <c r="L72"/>
  <c r="K72"/>
  <c r="J72"/>
  <c r="G72"/>
  <c r="D72"/>
  <c r="M72" s="1"/>
  <c r="M71"/>
  <c r="L71"/>
  <c r="K71"/>
  <c r="J71"/>
  <c r="G71"/>
  <c r="D71"/>
  <c r="M70"/>
  <c r="L70"/>
  <c r="K70"/>
  <c r="J70"/>
  <c r="G70"/>
  <c r="D70"/>
  <c r="K68"/>
  <c r="I68"/>
  <c r="J68" s="1"/>
  <c r="F68"/>
  <c r="G68" s="1"/>
  <c r="D68"/>
  <c r="M68" s="1"/>
  <c r="C68"/>
  <c r="L68" s="1"/>
  <c r="L67"/>
  <c r="J67"/>
  <c r="H67"/>
  <c r="E67"/>
  <c r="G67" s="1"/>
  <c r="D67"/>
  <c r="M67" s="1"/>
  <c r="B67"/>
  <c r="K67" s="1"/>
  <c r="L66"/>
  <c r="K66"/>
  <c r="H66"/>
  <c r="J66" s="1"/>
  <c r="G66"/>
  <c r="E66"/>
  <c r="B66"/>
  <c r="D66" s="1"/>
  <c r="M66" s="1"/>
  <c r="L65"/>
  <c r="H65"/>
  <c r="J65" s="1"/>
  <c r="G65"/>
  <c r="E65"/>
  <c r="D65"/>
  <c r="M65" s="1"/>
  <c r="B65"/>
  <c r="K65" s="1"/>
  <c r="L64"/>
  <c r="J64"/>
  <c r="H64"/>
  <c r="E64"/>
  <c r="G64" s="1"/>
  <c r="B64"/>
  <c r="K64" s="1"/>
  <c r="L63"/>
  <c r="K63"/>
  <c r="J63"/>
  <c r="H63"/>
  <c r="G63"/>
  <c r="E63"/>
  <c r="D63"/>
  <c r="M63" s="1"/>
  <c r="B63"/>
  <c r="L62"/>
  <c r="K62"/>
  <c r="H62"/>
  <c r="H69" s="1"/>
  <c r="E62"/>
  <c r="G62" s="1"/>
  <c r="B62"/>
  <c r="D62" s="1"/>
  <c r="M62" s="1"/>
  <c r="L61"/>
  <c r="J61"/>
  <c r="H61"/>
  <c r="G61"/>
  <c r="E61"/>
  <c r="B61"/>
  <c r="D61" s="1"/>
  <c r="M61" s="1"/>
  <c r="K60"/>
  <c r="I60"/>
  <c r="I69" s="1"/>
  <c r="H60"/>
  <c r="J60" s="1"/>
  <c r="F60"/>
  <c r="F69" s="1"/>
  <c r="E60"/>
  <c r="G60" s="1"/>
  <c r="C60"/>
  <c r="C69" s="1"/>
  <c r="B60"/>
  <c r="I59"/>
  <c r="H59"/>
  <c r="F59"/>
  <c r="E59"/>
  <c r="C59"/>
  <c r="L59" s="1"/>
  <c r="B59"/>
  <c r="K59" s="1"/>
  <c r="M58"/>
  <c r="L58"/>
  <c r="K58"/>
  <c r="J58"/>
  <c r="G58"/>
  <c r="D58"/>
  <c r="M57"/>
  <c r="L57"/>
  <c r="K57"/>
  <c r="J57"/>
  <c r="G57"/>
  <c r="D57"/>
  <c r="M56"/>
  <c r="L56"/>
  <c r="K56"/>
  <c r="J56"/>
  <c r="G56"/>
  <c r="D56"/>
  <c r="L55"/>
  <c r="K55"/>
  <c r="J55"/>
  <c r="G55"/>
  <c r="D55"/>
  <c r="M55" s="1"/>
  <c r="M54"/>
  <c r="L54"/>
  <c r="K54"/>
  <c r="J54"/>
  <c r="G54"/>
  <c r="D54"/>
  <c r="M53"/>
  <c r="L53"/>
  <c r="K53"/>
  <c r="J53"/>
  <c r="G53"/>
  <c r="D53"/>
  <c r="M52"/>
  <c r="L52"/>
  <c r="K52"/>
  <c r="J52"/>
  <c r="J59" s="1"/>
  <c r="G52"/>
  <c r="G59" s="1"/>
  <c r="D52"/>
  <c r="L51"/>
  <c r="K51"/>
  <c r="J51"/>
  <c r="G51"/>
  <c r="D51"/>
  <c r="D59" s="1"/>
  <c r="M59" s="1"/>
  <c r="K49"/>
  <c r="J49"/>
  <c r="I49"/>
  <c r="F49"/>
  <c r="G49" s="1"/>
  <c r="C49"/>
  <c r="L49" s="1"/>
  <c r="L48"/>
  <c r="K48"/>
  <c r="J48"/>
  <c r="H48"/>
  <c r="G48"/>
  <c r="E48"/>
  <c r="D48"/>
  <c r="M48" s="1"/>
  <c r="B48"/>
  <c r="L47"/>
  <c r="K47"/>
  <c r="H47"/>
  <c r="J47" s="1"/>
  <c r="E47"/>
  <c r="G47" s="1"/>
  <c r="B47"/>
  <c r="D47" s="1"/>
  <c r="M47" s="1"/>
  <c r="L46"/>
  <c r="J46"/>
  <c r="H46"/>
  <c r="G46"/>
  <c r="E46"/>
  <c r="B46"/>
  <c r="D46" s="1"/>
  <c r="M46" s="1"/>
  <c r="K45"/>
  <c r="I45"/>
  <c r="I50" s="1"/>
  <c r="H45"/>
  <c r="F45"/>
  <c r="F50" s="1"/>
  <c r="E45"/>
  <c r="G45" s="1"/>
  <c r="C45"/>
  <c r="C50" s="1"/>
  <c r="L50" s="1"/>
  <c r="B45"/>
  <c r="L44"/>
  <c r="J44"/>
  <c r="H44"/>
  <c r="E44"/>
  <c r="G44" s="1"/>
  <c r="B44"/>
  <c r="K44" s="1"/>
  <c r="L43"/>
  <c r="K43"/>
  <c r="J43"/>
  <c r="H43"/>
  <c r="G43"/>
  <c r="E43"/>
  <c r="D43"/>
  <c r="M43" s="1"/>
  <c r="B43"/>
  <c r="L42"/>
  <c r="K42"/>
  <c r="H42"/>
  <c r="J42" s="1"/>
  <c r="E42"/>
  <c r="G42" s="1"/>
  <c r="B42"/>
  <c r="D42" s="1"/>
  <c r="M42" s="1"/>
  <c r="L41"/>
  <c r="J41"/>
  <c r="H41"/>
  <c r="H50" s="1"/>
  <c r="G41"/>
  <c r="G50" s="1"/>
  <c r="E41"/>
  <c r="B41"/>
  <c r="D41" s="1"/>
  <c r="F40"/>
  <c r="K39"/>
  <c r="J39"/>
  <c r="I39"/>
  <c r="F39"/>
  <c r="G39" s="1"/>
  <c r="C39"/>
  <c r="L39" s="1"/>
  <c r="L38"/>
  <c r="K38"/>
  <c r="J38"/>
  <c r="H38"/>
  <c r="G38"/>
  <c r="E38"/>
  <c r="D38"/>
  <c r="M38" s="1"/>
  <c r="B38"/>
  <c r="L37"/>
  <c r="K37"/>
  <c r="H37"/>
  <c r="J37" s="1"/>
  <c r="E37"/>
  <c r="G37" s="1"/>
  <c r="B37"/>
  <c r="D37" s="1"/>
  <c r="M37" s="1"/>
  <c r="L36"/>
  <c r="J36"/>
  <c r="H36"/>
  <c r="G36"/>
  <c r="E36"/>
  <c r="B36"/>
  <c r="D36" s="1"/>
  <c r="M36" s="1"/>
  <c r="L35"/>
  <c r="H35"/>
  <c r="J35" s="1"/>
  <c r="E35"/>
  <c r="G35" s="1"/>
  <c r="D35"/>
  <c r="M35" s="1"/>
  <c r="B35"/>
  <c r="K35" s="1"/>
  <c r="L34"/>
  <c r="J34"/>
  <c r="H34"/>
  <c r="E34"/>
  <c r="G34" s="1"/>
  <c r="D34"/>
  <c r="M34" s="1"/>
  <c r="B34"/>
  <c r="K34" s="1"/>
  <c r="L33"/>
  <c r="K33"/>
  <c r="H33"/>
  <c r="J33" s="1"/>
  <c r="G33"/>
  <c r="E33"/>
  <c r="E40" s="1"/>
  <c r="B33"/>
  <c r="D33" s="1"/>
  <c r="M33" s="1"/>
  <c r="I32"/>
  <c r="I40" s="1"/>
  <c r="H32"/>
  <c r="J32" s="1"/>
  <c r="F32"/>
  <c r="G32" s="1"/>
  <c r="E32"/>
  <c r="B32"/>
  <c r="K32" s="1"/>
  <c r="L31"/>
  <c r="J31"/>
  <c r="H31"/>
  <c r="H40" s="1"/>
  <c r="G31"/>
  <c r="G40" s="1"/>
  <c r="E31"/>
  <c r="B31"/>
  <c r="D31" s="1"/>
  <c r="I30"/>
  <c r="F30"/>
  <c r="C30"/>
  <c r="L30" s="1"/>
  <c r="L29"/>
  <c r="J29"/>
  <c r="H29"/>
  <c r="E29"/>
  <c r="G29" s="1"/>
  <c r="B29"/>
  <c r="K29" s="1"/>
  <c r="L28"/>
  <c r="K28"/>
  <c r="J28"/>
  <c r="G28"/>
  <c r="D28"/>
  <c r="M28" s="1"/>
  <c r="L27"/>
  <c r="K27"/>
  <c r="J27"/>
  <c r="G27"/>
  <c r="D27"/>
  <c r="M27" s="1"/>
  <c r="M26"/>
  <c r="L26"/>
  <c r="K26"/>
  <c r="J26"/>
  <c r="G26"/>
  <c r="D26"/>
  <c r="M25"/>
  <c r="L25"/>
  <c r="K25"/>
  <c r="J25"/>
  <c r="G25"/>
  <c r="D25"/>
  <c r="L24"/>
  <c r="K24"/>
  <c r="J24"/>
  <c r="H24"/>
  <c r="G24"/>
  <c r="E24"/>
  <c r="D24"/>
  <c r="M24" s="1"/>
  <c r="B24"/>
  <c r="L23"/>
  <c r="K23"/>
  <c r="J23"/>
  <c r="G23"/>
  <c r="D23"/>
  <c r="M23" s="1"/>
  <c r="M22"/>
  <c r="L22"/>
  <c r="K22"/>
  <c r="J22"/>
  <c r="G22"/>
  <c r="D22"/>
  <c r="L21"/>
  <c r="K21"/>
  <c r="H21"/>
  <c r="H30" s="1"/>
  <c r="G21"/>
  <c r="E21"/>
  <c r="E30" s="1"/>
  <c r="B21"/>
  <c r="B30" s="1"/>
  <c r="K30" s="1"/>
  <c r="L20"/>
  <c r="I20"/>
  <c r="F20"/>
  <c r="C20"/>
  <c r="M19"/>
  <c r="L19"/>
  <c r="K19"/>
  <c r="J19"/>
  <c r="G19"/>
  <c r="D19"/>
  <c r="L18"/>
  <c r="K18"/>
  <c r="J18"/>
  <c r="G18"/>
  <c r="D18"/>
  <c r="M18" s="1"/>
  <c r="L17"/>
  <c r="K17"/>
  <c r="J17"/>
  <c r="G17"/>
  <c r="D17"/>
  <c r="M17" s="1"/>
  <c r="M16"/>
  <c r="L16"/>
  <c r="K16"/>
  <c r="J16"/>
  <c r="G16"/>
  <c r="D16"/>
  <c r="M15"/>
  <c r="L15"/>
  <c r="K15"/>
  <c r="J15"/>
  <c r="G15"/>
  <c r="D15"/>
  <c r="L14"/>
  <c r="K14"/>
  <c r="J14"/>
  <c r="G14"/>
  <c r="D14"/>
  <c r="M14" s="1"/>
  <c r="L13"/>
  <c r="H13"/>
  <c r="J13" s="1"/>
  <c r="G13"/>
  <c r="E13"/>
  <c r="D13"/>
  <c r="M13" s="1"/>
  <c r="B13"/>
  <c r="K13" s="1"/>
  <c r="M12"/>
  <c r="L12"/>
  <c r="K12"/>
  <c r="J12"/>
  <c r="G12"/>
  <c r="D12"/>
  <c r="L11"/>
  <c r="K11"/>
  <c r="J11"/>
  <c r="G11"/>
  <c r="D11"/>
  <c r="M11" s="1"/>
  <c r="M10"/>
  <c r="L10"/>
  <c r="K10"/>
  <c r="J10"/>
  <c r="G10"/>
  <c r="D10"/>
  <c r="L9"/>
  <c r="K9"/>
  <c r="J9"/>
  <c r="G9"/>
  <c r="D9"/>
  <c r="M9" s="1"/>
  <c r="L8"/>
  <c r="J8"/>
  <c r="J20" s="1"/>
  <c r="H8"/>
  <c r="H20" s="1"/>
  <c r="E8"/>
  <c r="E20" s="1"/>
  <c r="B8"/>
  <c r="B20" s="1"/>
  <c r="K20" s="1"/>
  <c r="K7"/>
  <c r="J7"/>
  <c r="I7"/>
  <c r="H7"/>
  <c r="F7"/>
  <c r="E7"/>
  <c r="G7" s="1"/>
  <c r="C7"/>
  <c r="L7" s="1"/>
  <c r="B7"/>
  <c r="D7" s="1"/>
  <c r="M7" s="1"/>
  <c r="M6"/>
  <c r="L6"/>
  <c r="K6"/>
  <c r="J6"/>
  <c r="G6"/>
  <c r="D6"/>
  <c r="M5"/>
  <c r="L5"/>
  <c r="K5"/>
  <c r="J5"/>
  <c r="G5"/>
  <c r="D5"/>
  <c r="L4"/>
  <c r="K4"/>
  <c r="J4"/>
  <c r="G4"/>
  <c r="D4"/>
  <c r="M4" s="1"/>
  <c r="C18" i="3"/>
  <c r="D18" s="1"/>
  <c r="C4"/>
  <c r="D4"/>
  <c r="D5"/>
  <c r="D6"/>
  <c r="D7"/>
  <c r="D8"/>
  <c r="D9"/>
  <c r="D10"/>
  <c r="D11"/>
  <c r="D12"/>
  <c r="D13"/>
  <c r="D15"/>
  <c r="D17"/>
  <c r="D19"/>
  <c r="B80" i="4"/>
  <c r="E5"/>
  <c r="F5"/>
  <c r="E6"/>
  <c r="F6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F21"/>
  <c r="E22"/>
  <c r="F22"/>
  <c r="E23"/>
  <c r="F23"/>
  <c r="F24"/>
  <c r="E25"/>
  <c r="F25"/>
  <c r="E26"/>
  <c r="F26"/>
  <c r="E27"/>
  <c r="F27"/>
  <c r="E28"/>
  <c r="F28"/>
  <c r="F29"/>
  <c r="E31"/>
  <c r="F31"/>
  <c r="E33"/>
  <c r="F33"/>
  <c r="E34"/>
  <c r="F34"/>
  <c r="F35"/>
  <c r="E36"/>
  <c r="F36"/>
  <c r="E37"/>
  <c r="F37"/>
  <c r="E38"/>
  <c r="F38"/>
  <c r="E39"/>
  <c r="E44"/>
  <c r="F48"/>
  <c r="E49"/>
  <c r="E51"/>
  <c r="F51"/>
  <c r="G51"/>
  <c r="E52"/>
  <c r="F52"/>
  <c r="E53"/>
  <c r="F53"/>
  <c r="G53"/>
  <c r="E54"/>
  <c r="F54"/>
  <c r="E55"/>
  <c r="F55"/>
  <c r="E56"/>
  <c r="F56"/>
  <c r="G56"/>
  <c r="E57"/>
  <c r="F57"/>
  <c r="E58"/>
  <c r="F58"/>
  <c r="E59"/>
  <c r="F59"/>
  <c r="E60"/>
  <c r="F61"/>
  <c r="F62"/>
  <c r="F63"/>
  <c r="E64"/>
  <c r="F64"/>
  <c r="F65"/>
  <c r="E66"/>
  <c r="F66"/>
  <c r="F67"/>
  <c r="E68"/>
  <c r="E70"/>
  <c r="F70"/>
  <c r="E71"/>
  <c r="F71"/>
  <c r="E72"/>
  <c r="F72"/>
  <c r="E73"/>
  <c r="F73"/>
  <c r="E74"/>
  <c r="F74"/>
  <c r="E75"/>
  <c r="F75"/>
  <c r="F4"/>
  <c r="E4"/>
  <c r="D58"/>
  <c r="G58" s="1"/>
  <c r="D57"/>
  <c r="G57" s="1"/>
  <c r="D56"/>
  <c r="D55"/>
  <c r="G55" s="1"/>
  <c r="D54"/>
  <c r="G54" s="1"/>
  <c r="D53"/>
  <c r="D52"/>
  <c r="G52" s="1"/>
  <c r="D51"/>
  <c r="C59"/>
  <c r="B59"/>
  <c r="B76"/>
  <c r="E76" s="1"/>
  <c r="M76" i="5" l="1"/>
  <c r="M41"/>
  <c r="H77"/>
  <c r="J40"/>
  <c r="G30"/>
  <c r="F77"/>
  <c r="L69"/>
  <c r="G69"/>
  <c r="M31"/>
  <c r="G77"/>
  <c r="E50"/>
  <c r="G8"/>
  <c r="G20" s="1"/>
  <c r="D21"/>
  <c r="K31"/>
  <c r="K36"/>
  <c r="K41"/>
  <c r="D45"/>
  <c r="M45" s="1"/>
  <c r="L45"/>
  <c r="K46"/>
  <c r="D60"/>
  <c r="L60"/>
  <c r="K61"/>
  <c r="J62"/>
  <c r="J69" s="1"/>
  <c r="B69"/>
  <c r="K69" s="1"/>
  <c r="M51"/>
  <c r="D8"/>
  <c r="D29"/>
  <c r="M29" s="1"/>
  <c r="D39"/>
  <c r="M39" s="1"/>
  <c r="B40"/>
  <c r="K40" s="1"/>
  <c r="D44"/>
  <c r="M44" s="1"/>
  <c r="J45"/>
  <c r="J50" s="1"/>
  <c r="D49"/>
  <c r="M49" s="1"/>
  <c r="B50"/>
  <c r="K50" s="1"/>
  <c r="D64"/>
  <c r="M64" s="1"/>
  <c r="E69"/>
  <c r="J21"/>
  <c r="J30" s="1"/>
  <c r="C32"/>
  <c r="K8"/>
  <c r="D20" i="3"/>
  <c r="D59" i="4"/>
  <c r="G59" s="1"/>
  <c r="J77" i="5" l="1"/>
  <c r="D69"/>
  <c r="M60"/>
  <c r="M21"/>
  <c r="D30"/>
  <c r="M30" s="1"/>
  <c r="L32"/>
  <c r="D32"/>
  <c r="C40"/>
  <c r="B77"/>
  <c r="K77" s="1"/>
  <c r="E77"/>
  <c r="D50"/>
  <c r="M50" s="1"/>
  <c r="D20"/>
  <c r="M20" s="1"/>
  <c r="M8"/>
  <c r="B61" i="4"/>
  <c r="E61" s="1"/>
  <c r="B29"/>
  <c r="D29" l="1"/>
  <c r="G29" s="1"/>
  <c r="E29"/>
  <c r="L40" i="5"/>
  <c r="C77"/>
  <c r="L77" s="1"/>
  <c r="M69"/>
  <c r="M32"/>
  <c r="D40"/>
  <c r="M40" s="1"/>
  <c r="D17" i="4"/>
  <c r="G17" s="1"/>
  <c r="D15"/>
  <c r="G15" s="1"/>
  <c r="D71"/>
  <c r="G71" s="1"/>
  <c r="D75"/>
  <c r="G75" s="1"/>
  <c r="D73"/>
  <c r="G73" s="1"/>
  <c r="D72"/>
  <c r="G72" s="1"/>
  <c r="D70"/>
  <c r="G70" s="1"/>
  <c r="C68"/>
  <c r="B67"/>
  <c r="B65"/>
  <c r="D64"/>
  <c r="G64" s="1"/>
  <c r="D63"/>
  <c r="G63" s="1"/>
  <c r="B63"/>
  <c r="E63" s="1"/>
  <c r="B62"/>
  <c r="F60"/>
  <c r="C49"/>
  <c r="D47"/>
  <c r="G47" s="1"/>
  <c r="F45"/>
  <c r="D44"/>
  <c r="G44" s="1"/>
  <c r="D43"/>
  <c r="G43" s="1"/>
  <c r="D42"/>
  <c r="G42" s="1"/>
  <c r="C39"/>
  <c r="D38"/>
  <c r="G38" s="1"/>
  <c r="B35"/>
  <c r="D33"/>
  <c r="G33" s="1"/>
  <c r="D32"/>
  <c r="G32" s="1"/>
  <c r="C32"/>
  <c r="F32" s="1"/>
  <c r="B32"/>
  <c r="E32" s="1"/>
  <c r="D31"/>
  <c r="G31" s="1"/>
  <c r="D28"/>
  <c r="G28" s="1"/>
  <c r="D27"/>
  <c r="G27" s="1"/>
  <c r="D26"/>
  <c r="G26" s="1"/>
  <c r="D25"/>
  <c r="G25" s="1"/>
  <c r="D24"/>
  <c r="G24" s="1"/>
  <c r="B24"/>
  <c r="E24" s="1"/>
  <c r="D23"/>
  <c r="G23" s="1"/>
  <c r="D22"/>
  <c r="G22" s="1"/>
  <c r="B21"/>
  <c r="E21" s="1"/>
  <c r="D19"/>
  <c r="G19" s="1"/>
  <c r="D14"/>
  <c r="G14" s="1"/>
  <c r="B20"/>
  <c r="E20" s="1"/>
  <c r="D12"/>
  <c r="G12" s="1"/>
  <c r="D11"/>
  <c r="G11" s="1"/>
  <c r="D10"/>
  <c r="G10" s="1"/>
  <c r="D9"/>
  <c r="G9" s="1"/>
  <c r="D8"/>
  <c r="G8" s="1"/>
  <c r="D6"/>
  <c r="G6" s="1"/>
  <c r="D5"/>
  <c r="G5" s="1"/>
  <c r="C7"/>
  <c r="F7" s="1"/>
  <c r="B7"/>
  <c r="E7" s="1"/>
  <c r="B62" i="1"/>
  <c r="D39" i="4" l="1"/>
  <c r="G39" s="1"/>
  <c r="F39"/>
  <c r="D62"/>
  <c r="G62" s="1"/>
  <c r="E62"/>
  <c r="D35"/>
  <c r="G35" s="1"/>
  <c r="E35"/>
  <c r="D49"/>
  <c r="G49" s="1"/>
  <c r="F49"/>
  <c r="D68"/>
  <c r="G68" s="1"/>
  <c r="F68"/>
  <c r="D65"/>
  <c r="G65" s="1"/>
  <c r="E65"/>
  <c r="D67"/>
  <c r="G67" s="1"/>
  <c r="E67"/>
  <c r="D77" i="5"/>
  <c r="M77" s="1"/>
  <c r="B69" i="4"/>
  <c r="E69" s="1"/>
  <c r="B50"/>
  <c r="E50" s="1"/>
  <c r="D45"/>
  <c r="G45" s="1"/>
  <c r="D41"/>
  <c r="G41" s="1"/>
  <c r="D7"/>
  <c r="G7" s="1"/>
  <c r="D61"/>
  <c r="G61" s="1"/>
  <c r="D18"/>
  <c r="G18" s="1"/>
  <c r="D16"/>
  <c r="G16" s="1"/>
  <c r="C20"/>
  <c r="F20" s="1"/>
  <c r="C30"/>
  <c r="F30" s="1"/>
  <c r="B30"/>
  <c r="D36"/>
  <c r="G36" s="1"/>
  <c r="C40"/>
  <c r="F40" s="1"/>
  <c r="C50"/>
  <c r="F50" s="1"/>
  <c r="D48"/>
  <c r="G48" s="1"/>
  <c r="D60"/>
  <c r="G60" s="1"/>
  <c r="C69"/>
  <c r="F69" s="1"/>
  <c r="D74"/>
  <c r="C76"/>
  <c r="F76" s="1"/>
  <c r="D13"/>
  <c r="D34"/>
  <c r="G34" s="1"/>
  <c r="B40"/>
  <c r="E40" s="1"/>
  <c r="D46"/>
  <c r="G46" s="1"/>
  <c r="D66"/>
  <c r="G66" s="1"/>
  <c r="D4"/>
  <c r="G4" s="1"/>
  <c r="D76" l="1"/>
  <c r="G76" s="1"/>
  <c r="G74"/>
  <c r="B77"/>
  <c r="D20"/>
  <c r="G20" s="1"/>
  <c r="G13"/>
  <c r="C77"/>
  <c r="F77" s="1"/>
  <c r="D50"/>
  <c r="G50" s="1"/>
  <c r="D37"/>
  <c r="D69"/>
  <c r="G69" s="1"/>
  <c r="D21"/>
  <c r="D30" l="1"/>
  <c r="G30" s="1"/>
  <c r="G21"/>
  <c r="D40"/>
  <c r="G40" s="1"/>
  <c r="G37"/>
  <c r="E64" i="1"/>
  <c r="F64"/>
  <c r="H64"/>
  <c r="I64"/>
  <c r="B64"/>
  <c r="I4"/>
  <c r="H4"/>
  <c r="F4"/>
  <c r="E4"/>
  <c r="C4"/>
  <c r="B4"/>
  <c r="D77" i="4" l="1"/>
  <c r="H62" i="1"/>
  <c r="E62"/>
  <c r="F62" s="1"/>
  <c r="G62" s="1"/>
  <c r="H63"/>
  <c r="I63" s="1"/>
  <c r="J63" s="1"/>
  <c r="G60"/>
  <c r="G64" s="1"/>
  <c r="C63"/>
  <c r="D63" s="1"/>
  <c r="J61"/>
  <c r="D61"/>
  <c r="K62" l="1"/>
  <c r="D59"/>
  <c r="J59"/>
  <c r="D60"/>
  <c r="J60"/>
  <c r="J64" s="1"/>
  <c r="G61"/>
  <c r="C62"/>
  <c r="I62"/>
  <c r="J62" s="1"/>
  <c r="F63"/>
  <c r="G63" s="1"/>
  <c r="G59"/>
  <c r="D62" l="1"/>
  <c r="D64" s="1"/>
  <c r="C64"/>
  <c r="B19"/>
  <c r="C19" s="1"/>
  <c r="D19" s="1"/>
  <c r="H27"/>
  <c r="E27"/>
  <c r="D27"/>
  <c r="H50"/>
  <c r="E50"/>
  <c r="B50"/>
  <c r="D21"/>
  <c r="H29"/>
  <c r="I29" s="1"/>
  <c r="J29" s="1"/>
  <c r="E29"/>
  <c r="H39"/>
  <c r="E39"/>
  <c r="F39" s="1"/>
  <c r="H40"/>
  <c r="I40" s="1"/>
  <c r="J40" s="1"/>
  <c r="E40"/>
  <c r="F40" s="1"/>
  <c r="G40" s="1"/>
  <c r="B40"/>
  <c r="H30"/>
  <c r="E30"/>
  <c r="B30"/>
  <c r="H19"/>
  <c r="E19"/>
  <c r="E28" s="1"/>
  <c r="H53"/>
  <c r="E53"/>
  <c r="B53"/>
  <c r="B43"/>
  <c r="H43"/>
  <c r="I43" s="1"/>
  <c r="J43" s="1"/>
  <c r="E43"/>
  <c r="F43" s="1"/>
  <c r="G43" s="1"/>
  <c r="H33"/>
  <c r="E33"/>
  <c r="F33" s="1"/>
  <c r="G33" s="1"/>
  <c r="B33"/>
  <c r="C33" s="1"/>
  <c r="D33" s="1"/>
  <c r="B23"/>
  <c r="D23" s="1"/>
  <c r="E23"/>
  <c r="H55"/>
  <c r="E55"/>
  <c r="F55" s="1"/>
  <c r="G55" s="1"/>
  <c r="B55"/>
  <c r="C55" s="1"/>
  <c r="D55" s="1"/>
  <c r="H45"/>
  <c r="E45"/>
  <c r="F45" s="1"/>
  <c r="G45" s="1"/>
  <c r="B45"/>
  <c r="C45" s="1"/>
  <c r="D45" s="1"/>
  <c r="H35"/>
  <c r="I35" s="1"/>
  <c r="J35" s="1"/>
  <c r="E35"/>
  <c r="B35"/>
  <c r="H25"/>
  <c r="J25" s="1"/>
  <c r="E25"/>
  <c r="B25"/>
  <c r="D25" s="1"/>
  <c r="H54"/>
  <c r="I54" s="1"/>
  <c r="J54" s="1"/>
  <c r="E54"/>
  <c r="F54" s="1"/>
  <c r="G54" s="1"/>
  <c r="B54"/>
  <c r="C54" s="1"/>
  <c r="D54" s="1"/>
  <c r="H44"/>
  <c r="E44"/>
  <c r="B44"/>
  <c r="H34"/>
  <c r="E34"/>
  <c r="B34"/>
  <c r="C34" s="1"/>
  <c r="D34" s="1"/>
  <c r="H24"/>
  <c r="E24"/>
  <c r="B24"/>
  <c r="D24" s="1"/>
  <c r="H56"/>
  <c r="E56"/>
  <c r="B56"/>
  <c r="H46"/>
  <c r="E46"/>
  <c r="F46" s="1"/>
  <c r="G46" s="1"/>
  <c r="B46"/>
  <c r="C46" s="1"/>
  <c r="D46" s="1"/>
  <c r="F36"/>
  <c r="H36"/>
  <c r="B36"/>
  <c r="H26"/>
  <c r="J26" s="1"/>
  <c r="E26"/>
  <c r="G26" s="1"/>
  <c r="B26"/>
  <c r="D26" s="1"/>
  <c r="H52"/>
  <c r="I52" s="1"/>
  <c r="J52" s="1"/>
  <c r="E52"/>
  <c r="F52" s="1"/>
  <c r="G52" s="1"/>
  <c r="B52"/>
  <c r="H42"/>
  <c r="E42"/>
  <c r="B42"/>
  <c r="C42" s="1"/>
  <c r="D42" s="1"/>
  <c r="H32"/>
  <c r="E32"/>
  <c r="B32"/>
  <c r="C32" s="1"/>
  <c r="D32" s="1"/>
  <c r="H22"/>
  <c r="I22" s="1"/>
  <c r="J22" s="1"/>
  <c r="E22"/>
  <c r="B22"/>
  <c r="H49"/>
  <c r="E49"/>
  <c r="E58" s="1"/>
  <c r="B49"/>
  <c r="B58" s="1"/>
  <c r="B39"/>
  <c r="B29"/>
  <c r="B38" s="1"/>
  <c r="H51"/>
  <c r="I51" s="1"/>
  <c r="E51"/>
  <c r="F51" s="1"/>
  <c r="G51" s="1"/>
  <c r="B51"/>
  <c r="I57"/>
  <c r="J57" s="1"/>
  <c r="F57"/>
  <c r="G57" s="1"/>
  <c r="C57"/>
  <c r="D57" s="1"/>
  <c r="I56"/>
  <c r="J56" s="1"/>
  <c r="F56"/>
  <c r="G56" s="1"/>
  <c r="C56"/>
  <c r="D56" s="1"/>
  <c r="I55"/>
  <c r="J55" s="1"/>
  <c r="I53"/>
  <c r="J53" s="1"/>
  <c r="F53"/>
  <c r="G53" s="1"/>
  <c r="C53"/>
  <c r="D53" s="1"/>
  <c r="C52"/>
  <c r="D52" s="1"/>
  <c r="C51"/>
  <c r="I50"/>
  <c r="J50" s="1"/>
  <c r="F50"/>
  <c r="G50" s="1"/>
  <c r="C50"/>
  <c r="D50" s="1"/>
  <c r="I49"/>
  <c r="J49" s="1"/>
  <c r="F49"/>
  <c r="G49" s="1"/>
  <c r="C49"/>
  <c r="D49" s="1"/>
  <c r="H41"/>
  <c r="E41"/>
  <c r="B41"/>
  <c r="I47"/>
  <c r="J47" s="1"/>
  <c r="F47"/>
  <c r="G47" s="1"/>
  <c r="C47"/>
  <c r="D47" s="1"/>
  <c r="I46"/>
  <c r="J46" s="1"/>
  <c r="I45"/>
  <c r="J45" s="1"/>
  <c r="I44"/>
  <c r="J44" s="1"/>
  <c r="F44"/>
  <c r="G44" s="1"/>
  <c r="C44"/>
  <c r="D44" s="1"/>
  <c r="C43"/>
  <c r="D43" s="1"/>
  <c r="I42"/>
  <c r="J42" s="1"/>
  <c r="F42"/>
  <c r="G42" s="1"/>
  <c r="I41"/>
  <c r="C41"/>
  <c r="D41" s="1"/>
  <c r="C40"/>
  <c r="D40" s="1"/>
  <c r="I39"/>
  <c r="C39"/>
  <c r="D39" s="1"/>
  <c r="H31"/>
  <c r="E31"/>
  <c r="F31" s="1"/>
  <c r="G31" s="1"/>
  <c r="B31"/>
  <c r="C31"/>
  <c r="D31" s="1"/>
  <c r="I37"/>
  <c r="J37" s="1"/>
  <c r="F37"/>
  <c r="G37" s="1"/>
  <c r="C37"/>
  <c r="D37" s="1"/>
  <c r="I36"/>
  <c r="J36" s="1"/>
  <c r="G36"/>
  <c r="C36"/>
  <c r="D36" s="1"/>
  <c r="F35"/>
  <c r="G35" s="1"/>
  <c r="C35"/>
  <c r="D35" s="1"/>
  <c r="I34"/>
  <c r="J34" s="1"/>
  <c r="F34"/>
  <c r="G34" s="1"/>
  <c r="I33"/>
  <c r="J33" s="1"/>
  <c r="I32"/>
  <c r="J32" s="1"/>
  <c r="F32"/>
  <c r="G32" s="1"/>
  <c r="I31"/>
  <c r="J31" s="1"/>
  <c r="I30"/>
  <c r="J30" s="1"/>
  <c r="F30"/>
  <c r="G30" s="1"/>
  <c r="C30"/>
  <c r="D30" s="1"/>
  <c r="F29"/>
  <c r="G29" s="1"/>
  <c r="I27"/>
  <c r="J27" s="1"/>
  <c r="J24"/>
  <c r="J23"/>
  <c r="J21"/>
  <c r="I20"/>
  <c r="J20" s="1"/>
  <c r="I19"/>
  <c r="J19" s="1"/>
  <c r="F27"/>
  <c r="G27" s="1"/>
  <c r="G25"/>
  <c r="G24"/>
  <c r="G23"/>
  <c r="F22"/>
  <c r="G22" s="1"/>
  <c r="G21"/>
  <c r="F20"/>
  <c r="G20" s="1"/>
  <c r="C22"/>
  <c r="C20"/>
  <c r="D20" s="1"/>
  <c r="J38" l="1"/>
  <c r="G58"/>
  <c r="E38"/>
  <c r="B48"/>
  <c r="H28"/>
  <c r="C29"/>
  <c r="D29" s="1"/>
  <c r="D38" s="1"/>
  <c r="E48"/>
  <c r="F19"/>
  <c r="G19" s="1"/>
  <c r="D48"/>
  <c r="D22"/>
  <c r="G38"/>
  <c r="I48"/>
  <c r="H48"/>
  <c r="H58"/>
  <c r="H38"/>
  <c r="D28"/>
  <c r="J28"/>
  <c r="B28"/>
  <c r="B65" s="1"/>
  <c r="C58"/>
  <c r="I58"/>
  <c r="G28"/>
  <c r="C48"/>
  <c r="F58"/>
  <c r="I28"/>
  <c r="C28"/>
  <c r="I38"/>
  <c r="F38"/>
  <c r="J39"/>
  <c r="G39"/>
  <c r="D51"/>
  <c r="D58" s="1"/>
  <c r="J51"/>
  <c r="J58" s="1"/>
  <c r="F41"/>
  <c r="G41" s="1"/>
  <c r="J41"/>
  <c r="F28" l="1"/>
  <c r="C38"/>
  <c r="G48"/>
  <c r="F48"/>
  <c r="J48"/>
  <c r="I17"/>
  <c r="J17" s="1"/>
  <c r="H16"/>
  <c r="H15"/>
  <c r="H14"/>
  <c r="H13"/>
  <c r="H11"/>
  <c r="F17"/>
  <c r="G17" s="1"/>
  <c r="E16"/>
  <c r="F16" s="1"/>
  <c r="E15"/>
  <c r="E14"/>
  <c r="F14" s="1"/>
  <c r="E13"/>
  <c r="E11"/>
  <c r="C17"/>
  <c r="D17" s="1"/>
  <c r="B11"/>
  <c r="B14"/>
  <c r="C14" s="1"/>
  <c r="D14" s="1"/>
  <c r="B16"/>
  <c r="C16" s="1"/>
  <c r="D16" s="1"/>
  <c r="B15"/>
  <c r="C15" s="1"/>
  <c r="D15" s="1"/>
  <c r="B13"/>
  <c r="E18" l="1"/>
  <c r="B18"/>
  <c r="H18"/>
  <c r="F15"/>
  <c r="G15" s="1"/>
  <c r="G16"/>
  <c r="G14"/>
  <c r="I16"/>
  <c r="J16" s="1"/>
  <c r="I14"/>
  <c r="J14" s="1"/>
  <c r="I15"/>
  <c r="J15" s="1"/>
  <c r="C8" l="1"/>
  <c r="C9"/>
  <c r="D9" s="1"/>
  <c r="C10"/>
  <c r="C11"/>
  <c r="D11" s="1"/>
  <c r="C12"/>
  <c r="D12" s="1"/>
  <c r="C13"/>
  <c r="J5"/>
  <c r="I8"/>
  <c r="I9"/>
  <c r="J9" s="1"/>
  <c r="I10"/>
  <c r="J10" s="1"/>
  <c r="I11"/>
  <c r="I12"/>
  <c r="J12" s="1"/>
  <c r="I13"/>
  <c r="J13" s="1"/>
  <c r="G6"/>
  <c r="F8"/>
  <c r="F9"/>
  <c r="G9" s="1"/>
  <c r="F10"/>
  <c r="G10" s="1"/>
  <c r="F11"/>
  <c r="G11" s="1"/>
  <c r="F12"/>
  <c r="F13"/>
  <c r="G13" s="1"/>
  <c r="J6"/>
  <c r="J11"/>
  <c r="G5"/>
  <c r="G12"/>
  <c r="D5"/>
  <c r="D6"/>
  <c r="D10"/>
  <c r="D13"/>
  <c r="D4"/>
  <c r="G8" l="1"/>
  <c r="G18" s="1"/>
  <c r="F18"/>
  <c r="J8"/>
  <c r="J18" s="1"/>
  <c r="I18"/>
  <c r="D8"/>
  <c r="D18" s="1"/>
  <c r="C18"/>
  <c r="J4"/>
  <c r="C7"/>
  <c r="E7"/>
  <c r="E65" s="1"/>
  <c r="G4"/>
  <c r="F7"/>
  <c r="I7"/>
  <c r="I65" s="1"/>
  <c r="B7"/>
  <c r="H7"/>
  <c r="H65" s="1"/>
  <c r="F65" l="1"/>
  <c r="C65"/>
  <c r="G7"/>
  <c r="G65" s="1"/>
  <c r="J7"/>
  <c r="J65" s="1"/>
  <c r="D7"/>
  <c r="D65" s="1"/>
</calcChain>
</file>

<file path=xl/sharedStrings.xml><?xml version="1.0" encoding="utf-8"?>
<sst xmlns="http://schemas.openxmlformats.org/spreadsheetml/2006/main" count="245" uniqueCount="63">
  <si>
    <t>Всего</t>
  </si>
  <si>
    <t>МБУК Библиотека</t>
  </si>
  <si>
    <t>УТиСР</t>
  </si>
  <si>
    <t>ФУ</t>
  </si>
  <si>
    <t>УСХ</t>
  </si>
  <si>
    <t>Администрация</t>
  </si>
  <si>
    <t>преседатель</t>
  </si>
  <si>
    <t>хурал</t>
  </si>
  <si>
    <t>КСО</t>
  </si>
  <si>
    <t>Аппарат УО</t>
  </si>
  <si>
    <t>Аппарат УК</t>
  </si>
  <si>
    <t>ЕДДС</t>
  </si>
  <si>
    <t>Итого по УК</t>
  </si>
  <si>
    <t>Итого по Ад</t>
  </si>
  <si>
    <t>СПС Шекпээр</t>
  </si>
  <si>
    <t>СПС Барлык</t>
  </si>
  <si>
    <t>СПС Аксы-Барлык</t>
  </si>
  <si>
    <t>СПС Эрги-Барлык</t>
  </si>
  <si>
    <t>СПС Ак</t>
  </si>
  <si>
    <t>СПС Аянгаты</t>
  </si>
  <si>
    <t>СПС Бижиктих-Хая</t>
  </si>
  <si>
    <t>СПС Хонделен</t>
  </si>
  <si>
    <t>СПС Кызыл-Мажалык</t>
  </si>
  <si>
    <t>Итого Пред 0104</t>
  </si>
  <si>
    <t>Итого Хурал 0103</t>
  </si>
  <si>
    <t>Итого Аппрату  0104</t>
  </si>
  <si>
    <t>Итого бух</t>
  </si>
  <si>
    <t>в том числе субв</t>
  </si>
  <si>
    <t>Внеш</t>
  </si>
  <si>
    <t>УО</t>
  </si>
  <si>
    <t>Итого по Образ</t>
  </si>
  <si>
    <t>РЦКС</t>
  </si>
  <si>
    <t>РЦБС</t>
  </si>
  <si>
    <t>ДДОУ (61 488)</t>
  </si>
  <si>
    <t>Школы (214 325)</t>
  </si>
  <si>
    <t>Итого по УК (39529,3)</t>
  </si>
  <si>
    <t>пришкольный интернат</t>
  </si>
  <si>
    <t>КДН</t>
  </si>
  <si>
    <t>Административная комиссия</t>
  </si>
  <si>
    <t>ПВУ</t>
  </si>
  <si>
    <t>Итого по ПВУ:</t>
  </si>
  <si>
    <t>Месячный ФОТ</t>
  </si>
  <si>
    <t>по источникам</t>
  </si>
  <si>
    <t>дот на сбал-ть Культура</t>
  </si>
  <si>
    <t>дот выравн Культура</t>
  </si>
  <si>
    <t>из МФ РТ</t>
  </si>
  <si>
    <t>в проекте</t>
  </si>
  <si>
    <t>0100</t>
  </si>
  <si>
    <t>адм комм</t>
  </si>
  <si>
    <t>0400</t>
  </si>
  <si>
    <t>уо апп</t>
  </si>
  <si>
    <t>кдн</t>
  </si>
  <si>
    <t>ук апп</t>
  </si>
  <si>
    <t>утср апп</t>
  </si>
  <si>
    <t>0203</t>
  </si>
  <si>
    <t>0309</t>
  </si>
  <si>
    <t>0701</t>
  </si>
  <si>
    <t>0709</t>
  </si>
  <si>
    <t>0800</t>
  </si>
  <si>
    <t>отклонение</t>
  </si>
  <si>
    <t>0702 - школы субвенция</t>
  </si>
  <si>
    <t>0703 удо</t>
  </si>
  <si>
    <t>0702 пришкольный интернат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</si>
</sst>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0" xfId="0" applyFill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0" xfId="0" applyBorder="1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/>
    <xf numFmtId="4" fontId="0" fillId="0" borderId="1" xfId="0" applyNumberFormat="1" applyFont="1" applyBorder="1"/>
    <xf numFmtId="4" fontId="0" fillId="0" borderId="1" xfId="0" applyNumberFormat="1" applyFont="1" applyFill="1" applyBorder="1"/>
    <xf numFmtId="4" fontId="0" fillId="2" borderId="1" xfId="0" applyNumberFormat="1" applyFont="1" applyFill="1" applyBorder="1"/>
    <xf numFmtId="4" fontId="0" fillId="2" borderId="2" xfId="0" applyNumberFormat="1" applyFont="1" applyFill="1" applyBorder="1"/>
    <xf numFmtId="4" fontId="0" fillId="0" borderId="2" xfId="0" applyNumberFormat="1" applyFont="1" applyFill="1" applyBorder="1"/>
    <xf numFmtId="4" fontId="0" fillId="3" borderId="2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4" fontId="0" fillId="4" borderId="1" xfId="0" applyNumberFormat="1" applyFont="1" applyFill="1" applyBorder="1"/>
    <xf numFmtId="4" fontId="0" fillId="4" borderId="0" xfId="0" applyNumberFormat="1" applyFill="1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" fontId="0" fillId="5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9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:C5"/>
    </sheetView>
  </sheetViews>
  <sheetFormatPr defaultRowHeight="15"/>
  <cols>
    <col min="1" max="1" width="24.7109375" customWidth="1"/>
    <col min="2" max="2" width="14.140625" customWidth="1"/>
    <col min="3" max="3" width="13.85546875" customWidth="1"/>
    <col min="4" max="4" width="13.42578125" customWidth="1"/>
    <col min="5" max="5" width="13.28515625" customWidth="1"/>
    <col min="6" max="6" width="11.85546875" customWidth="1"/>
    <col min="7" max="7" width="12" customWidth="1"/>
    <col min="8" max="8" width="11.5703125" customWidth="1"/>
    <col min="9" max="9" width="12.7109375" customWidth="1"/>
    <col min="10" max="10" width="14.42578125" customWidth="1"/>
    <col min="11" max="11" width="13.5703125" bestFit="1" customWidth="1"/>
  </cols>
  <sheetData>
    <row r="2" spans="1:10" ht="29.25" customHeight="1">
      <c r="A2" s="1"/>
      <c r="B2" s="36">
        <v>2017</v>
      </c>
      <c r="C2" s="36"/>
      <c r="D2" s="36"/>
      <c r="E2" s="36">
        <v>2018</v>
      </c>
      <c r="F2" s="36"/>
      <c r="G2" s="36"/>
      <c r="H2" s="36">
        <v>2019</v>
      </c>
      <c r="I2" s="36"/>
      <c r="J2" s="36"/>
    </row>
    <row r="3" spans="1:10">
      <c r="A3" s="1"/>
      <c r="B3" s="1">
        <v>211</v>
      </c>
      <c r="C3" s="1">
        <v>213</v>
      </c>
      <c r="D3" s="1" t="s">
        <v>0</v>
      </c>
      <c r="E3" s="1">
        <v>211</v>
      </c>
      <c r="F3" s="1">
        <v>213</v>
      </c>
      <c r="G3" s="1" t="s">
        <v>0</v>
      </c>
      <c r="H3" s="1">
        <v>211</v>
      </c>
      <c r="I3" s="1">
        <v>213</v>
      </c>
      <c r="J3" s="1" t="s">
        <v>0</v>
      </c>
    </row>
    <row r="4" spans="1:10">
      <c r="A4" s="7" t="s">
        <v>31</v>
      </c>
      <c r="B4" s="8">
        <f>3365340+11066130</f>
        <v>14431470</v>
      </c>
      <c r="C4" s="8">
        <f>1016330+3341970</f>
        <v>4358300</v>
      </c>
      <c r="D4" s="8">
        <f>B4+C4</f>
        <v>18789770</v>
      </c>
      <c r="E4" s="8">
        <f>3365340+11066130</f>
        <v>14431470</v>
      </c>
      <c r="F4" s="8">
        <f>1016330+3341970</f>
        <v>4358300</v>
      </c>
      <c r="G4" s="8">
        <f>E4+F4</f>
        <v>18789770</v>
      </c>
      <c r="H4" s="8">
        <f>3365340+11066130</f>
        <v>14431470</v>
      </c>
      <c r="I4" s="8">
        <f>1016330+3341970</f>
        <v>4358300</v>
      </c>
      <c r="J4" s="8">
        <f>H4+I4</f>
        <v>18789770</v>
      </c>
    </row>
    <row r="5" spans="1:10">
      <c r="A5" s="7" t="s">
        <v>32</v>
      </c>
      <c r="B5" s="10">
        <v>6748970</v>
      </c>
      <c r="C5" s="10">
        <v>2038190</v>
      </c>
      <c r="D5" s="8">
        <f t="shared" ref="D5:D17" si="0">B5+C5</f>
        <v>8787160</v>
      </c>
      <c r="E5" s="10">
        <v>6748970</v>
      </c>
      <c r="F5" s="10">
        <v>2038190</v>
      </c>
      <c r="G5" s="8">
        <f t="shared" ref="G5:G17" si="1">E5+F5</f>
        <v>8787160</v>
      </c>
      <c r="H5" s="10">
        <v>6748970</v>
      </c>
      <c r="I5" s="10">
        <v>2038190</v>
      </c>
      <c r="J5" s="8">
        <f t="shared" ref="J5:J17" si="2">H5+I5</f>
        <v>8787160</v>
      </c>
    </row>
    <row r="6" spans="1:10">
      <c r="A6" s="7" t="s">
        <v>1</v>
      </c>
      <c r="B6" s="8">
        <v>11207490</v>
      </c>
      <c r="C6" s="8">
        <v>3384660</v>
      </c>
      <c r="D6" s="8">
        <f t="shared" si="0"/>
        <v>14592150</v>
      </c>
      <c r="E6" s="8">
        <v>11207490</v>
      </c>
      <c r="F6" s="8">
        <v>3384660</v>
      </c>
      <c r="G6" s="8">
        <f t="shared" si="1"/>
        <v>14592150</v>
      </c>
      <c r="H6" s="8">
        <v>11207490</v>
      </c>
      <c r="I6" s="8">
        <v>3384660</v>
      </c>
      <c r="J6" s="8">
        <f t="shared" si="2"/>
        <v>14592150</v>
      </c>
    </row>
    <row r="7" spans="1:10">
      <c r="A7" s="11" t="s">
        <v>12</v>
      </c>
      <c r="B7" s="9">
        <f>SUM(B4:B6)</f>
        <v>32387930</v>
      </c>
      <c r="C7" s="9">
        <f>SUM(C4:C6)</f>
        <v>9781150</v>
      </c>
      <c r="D7" s="9">
        <f>B7+C7</f>
        <v>42169080</v>
      </c>
      <c r="E7" s="9">
        <f>SUM(E4:E6)</f>
        <v>32387930</v>
      </c>
      <c r="F7" s="9">
        <f>SUM(F4:F6)</f>
        <v>9781150</v>
      </c>
      <c r="G7" s="9">
        <f t="shared" si="1"/>
        <v>42169080</v>
      </c>
      <c r="H7" s="9">
        <f>SUM(H4:H6)</f>
        <v>32387930</v>
      </c>
      <c r="I7" s="9">
        <f>SUM(I4:I6)</f>
        <v>9781150</v>
      </c>
      <c r="J7" s="9">
        <f t="shared" si="2"/>
        <v>42169080</v>
      </c>
    </row>
    <row r="8" spans="1:10">
      <c r="A8" s="7" t="s">
        <v>3</v>
      </c>
      <c r="B8" s="8">
        <v>2560619</v>
      </c>
      <c r="C8" s="8">
        <f t="shared" ref="C8:C22" si="3">B8*30.2%</f>
        <v>773306.93799999997</v>
      </c>
      <c r="D8" s="8">
        <f t="shared" si="0"/>
        <v>3333925.9380000001</v>
      </c>
      <c r="E8" s="8">
        <v>2560619</v>
      </c>
      <c r="F8" s="8">
        <f t="shared" ref="F8:F17" si="4">E8*30.2%</f>
        <v>773306.93799999997</v>
      </c>
      <c r="G8" s="8">
        <f t="shared" si="1"/>
        <v>3333925.9380000001</v>
      </c>
      <c r="H8" s="8">
        <v>2560619</v>
      </c>
      <c r="I8" s="8">
        <f t="shared" ref="I8:I17" si="5">H8*30.2%</f>
        <v>773306.93799999997</v>
      </c>
      <c r="J8" s="8">
        <f t="shared" si="2"/>
        <v>3333925.9380000001</v>
      </c>
    </row>
    <row r="9" spans="1:10">
      <c r="A9" s="7" t="s">
        <v>2</v>
      </c>
      <c r="B9" s="8">
        <v>2190000</v>
      </c>
      <c r="C9" s="8">
        <f t="shared" si="3"/>
        <v>661380</v>
      </c>
      <c r="D9" s="8">
        <f t="shared" si="0"/>
        <v>2851380</v>
      </c>
      <c r="E9" s="8">
        <v>2190000</v>
      </c>
      <c r="F9" s="8">
        <f t="shared" si="4"/>
        <v>661380</v>
      </c>
      <c r="G9" s="8">
        <f t="shared" si="1"/>
        <v>2851380</v>
      </c>
      <c r="H9" s="8">
        <v>2190000</v>
      </c>
      <c r="I9" s="8">
        <f t="shared" si="5"/>
        <v>661380</v>
      </c>
      <c r="J9" s="8">
        <f t="shared" si="2"/>
        <v>2851380</v>
      </c>
    </row>
    <row r="10" spans="1:10">
      <c r="A10" s="7" t="s">
        <v>4</v>
      </c>
      <c r="B10" s="8">
        <v>1873700</v>
      </c>
      <c r="C10" s="8">
        <f t="shared" si="3"/>
        <v>565857.4</v>
      </c>
      <c r="D10" s="8">
        <f t="shared" si="0"/>
        <v>2439557.4</v>
      </c>
      <c r="E10" s="8">
        <v>1873700</v>
      </c>
      <c r="F10" s="8">
        <f t="shared" si="4"/>
        <v>565857.4</v>
      </c>
      <c r="G10" s="8">
        <f t="shared" si="1"/>
        <v>2439557.4</v>
      </c>
      <c r="H10" s="8">
        <v>1873700</v>
      </c>
      <c r="I10" s="8">
        <f t="shared" si="5"/>
        <v>565857.4</v>
      </c>
      <c r="J10" s="8">
        <f t="shared" si="2"/>
        <v>2439557.4</v>
      </c>
    </row>
    <row r="11" spans="1:10">
      <c r="A11" s="7" t="s">
        <v>5</v>
      </c>
      <c r="B11" s="8">
        <f>5887380+2351419</f>
        <v>8238799</v>
      </c>
      <c r="C11" s="8">
        <f t="shared" si="3"/>
        <v>2488117.298</v>
      </c>
      <c r="D11" s="8">
        <f>B11+C11</f>
        <v>10726916.298</v>
      </c>
      <c r="E11" s="8">
        <f>5887380+2351419</f>
        <v>8238799</v>
      </c>
      <c r="F11" s="8">
        <f t="shared" si="4"/>
        <v>2488117.298</v>
      </c>
      <c r="G11" s="8">
        <f t="shared" si="1"/>
        <v>10726916.298</v>
      </c>
      <c r="H11" s="8">
        <f>5887380+2351419</f>
        <v>8238799</v>
      </c>
      <c r="I11" s="8">
        <f t="shared" si="5"/>
        <v>2488117.298</v>
      </c>
      <c r="J11" s="8">
        <f t="shared" si="2"/>
        <v>10726916.298</v>
      </c>
    </row>
    <row r="12" spans="1:10">
      <c r="A12" s="7" t="s">
        <v>6</v>
      </c>
      <c r="B12" s="8">
        <v>878415</v>
      </c>
      <c r="C12" s="8">
        <f t="shared" si="3"/>
        <v>265281.33</v>
      </c>
      <c r="D12" s="8">
        <f t="shared" si="0"/>
        <v>1143696.33</v>
      </c>
      <c r="E12" s="8">
        <v>878415</v>
      </c>
      <c r="F12" s="8">
        <f t="shared" si="4"/>
        <v>265281.33</v>
      </c>
      <c r="G12" s="8">
        <f t="shared" si="1"/>
        <v>1143696.33</v>
      </c>
      <c r="H12" s="8">
        <v>878415</v>
      </c>
      <c r="I12" s="8">
        <f t="shared" si="5"/>
        <v>265281.33</v>
      </c>
      <c r="J12" s="8">
        <f t="shared" si="2"/>
        <v>1143696.33</v>
      </c>
    </row>
    <row r="13" spans="1:10">
      <c r="A13" s="7" t="s">
        <v>7</v>
      </c>
      <c r="B13" s="8">
        <f>1487704</f>
        <v>1487704</v>
      </c>
      <c r="C13" s="8">
        <f t="shared" si="3"/>
        <v>449286.60800000001</v>
      </c>
      <c r="D13" s="8">
        <f t="shared" si="0"/>
        <v>1936990.608</v>
      </c>
      <c r="E13" s="8">
        <f>1487704</f>
        <v>1487704</v>
      </c>
      <c r="F13" s="8">
        <f t="shared" si="4"/>
        <v>449286.60800000001</v>
      </c>
      <c r="G13" s="8">
        <f t="shared" si="1"/>
        <v>1936990.608</v>
      </c>
      <c r="H13" s="8">
        <f>1487704</f>
        <v>1487704</v>
      </c>
      <c r="I13" s="8">
        <f t="shared" si="5"/>
        <v>449286.60800000001</v>
      </c>
      <c r="J13" s="8">
        <f t="shared" si="2"/>
        <v>1936990.608</v>
      </c>
    </row>
    <row r="14" spans="1:10">
      <c r="A14" s="7" t="s">
        <v>8</v>
      </c>
      <c r="B14" s="8">
        <f>173708.6+576797</f>
        <v>750505.6</v>
      </c>
      <c r="C14" s="8">
        <f t="shared" si="3"/>
        <v>226652.69119999997</v>
      </c>
      <c r="D14" s="8">
        <f t="shared" si="0"/>
        <v>977158.29119999998</v>
      </c>
      <c r="E14" s="8">
        <f>173708.6+576797</f>
        <v>750505.6</v>
      </c>
      <c r="F14" s="8">
        <f t="shared" si="4"/>
        <v>226652.69119999997</v>
      </c>
      <c r="G14" s="8">
        <f t="shared" si="1"/>
        <v>977158.29119999998</v>
      </c>
      <c r="H14" s="8">
        <f>173708.6+576797</f>
        <v>750505.6</v>
      </c>
      <c r="I14" s="8">
        <f t="shared" si="5"/>
        <v>226652.69119999997</v>
      </c>
      <c r="J14" s="8">
        <f t="shared" si="2"/>
        <v>977158.29119999998</v>
      </c>
    </row>
    <row r="15" spans="1:10">
      <c r="A15" s="7" t="s">
        <v>9</v>
      </c>
      <c r="B15" s="8">
        <f>777809</f>
        <v>777809</v>
      </c>
      <c r="C15" s="8">
        <f t="shared" si="3"/>
        <v>234898.318</v>
      </c>
      <c r="D15" s="8">
        <f t="shared" si="0"/>
        <v>1012707.318</v>
      </c>
      <c r="E15" s="8">
        <f>777809</f>
        <v>777809</v>
      </c>
      <c r="F15" s="8">
        <f t="shared" si="4"/>
        <v>234898.318</v>
      </c>
      <c r="G15" s="8">
        <f t="shared" si="1"/>
        <v>1012707.318</v>
      </c>
      <c r="H15" s="8">
        <f>777809</f>
        <v>777809</v>
      </c>
      <c r="I15" s="8">
        <f t="shared" si="5"/>
        <v>234898.318</v>
      </c>
      <c r="J15" s="8">
        <f t="shared" si="2"/>
        <v>1012707.318</v>
      </c>
    </row>
    <row r="16" spans="1:10">
      <c r="A16" s="7" t="s">
        <v>10</v>
      </c>
      <c r="B16" s="8">
        <f>359134</f>
        <v>359134</v>
      </c>
      <c r="C16" s="8">
        <f t="shared" si="3"/>
        <v>108458.46799999999</v>
      </c>
      <c r="D16" s="8">
        <f t="shared" si="0"/>
        <v>467592.46799999999</v>
      </c>
      <c r="E16" s="8">
        <f>359134</f>
        <v>359134</v>
      </c>
      <c r="F16" s="8">
        <f t="shared" si="4"/>
        <v>108458.46799999999</v>
      </c>
      <c r="G16" s="8">
        <f t="shared" si="1"/>
        <v>467592.46799999999</v>
      </c>
      <c r="H16" s="8">
        <f>359134</f>
        <v>359134</v>
      </c>
      <c r="I16" s="8">
        <f t="shared" si="5"/>
        <v>108458.46799999999</v>
      </c>
      <c r="J16" s="8">
        <f t="shared" si="2"/>
        <v>467592.46799999999</v>
      </c>
    </row>
    <row r="17" spans="1:11">
      <c r="A17" s="7" t="s">
        <v>11</v>
      </c>
      <c r="B17" s="8">
        <v>474979</v>
      </c>
      <c r="C17" s="8">
        <f t="shared" si="3"/>
        <v>143443.658</v>
      </c>
      <c r="D17" s="8">
        <f t="shared" si="0"/>
        <v>618422.65800000005</v>
      </c>
      <c r="E17" s="8">
        <v>474979</v>
      </c>
      <c r="F17" s="8">
        <f t="shared" si="4"/>
        <v>143443.658</v>
      </c>
      <c r="G17" s="8">
        <f t="shared" si="1"/>
        <v>618422.65800000005</v>
      </c>
      <c r="H17" s="8">
        <v>474979</v>
      </c>
      <c r="I17" s="8">
        <f t="shared" si="5"/>
        <v>143443.658</v>
      </c>
      <c r="J17" s="8">
        <f t="shared" si="2"/>
        <v>618422.65800000005</v>
      </c>
    </row>
    <row r="18" spans="1:11">
      <c r="A18" s="11" t="s">
        <v>13</v>
      </c>
      <c r="B18" s="9">
        <f>B8+B9+B10+B11+B12+B13+B14+B15+B16+B17</f>
        <v>19591664.600000001</v>
      </c>
      <c r="C18" s="9">
        <f t="shared" ref="C18:J18" si="6">C8+C9+C10+C11+C12+C13+C14+C15+C16+C17</f>
        <v>5916682.7092000004</v>
      </c>
      <c r="D18" s="9">
        <f t="shared" si="6"/>
        <v>25508347.309199996</v>
      </c>
      <c r="E18" s="9">
        <f t="shared" si="6"/>
        <v>19591664.600000001</v>
      </c>
      <c r="F18" s="9">
        <f t="shared" si="6"/>
        <v>5916682.7092000004</v>
      </c>
      <c r="G18" s="9">
        <f t="shared" si="6"/>
        <v>25508347.309199996</v>
      </c>
      <c r="H18" s="9">
        <f t="shared" si="6"/>
        <v>19591664.600000001</v>
      </c>
      <c r="I18" s="9">
        <f t="shared" si="6"/>
        <v>5916682.7092000004</v>
      </c>
      <c r="J18" s="9">
        <f t="shared" si="6"/>
        <v>25508347.309199996</v>
      </c>
    </row>
    <row r="19" spans="1:11">
      <c r="A19" s="7" t="s">
        <v>14</v>
      </c>
      <c r="B19" s="8">
        <f>454260</f>
        <v>454260</v>
      </c>
      <c r="C19" s="8">
        <f t="shared" si="3"/>
        <v>137186.51999999999</v>
      </c>
      <c r="D19" s="8">
        <f>B19+C19</f>
        <v>591446.52</v>
      </c>
      <c r="E19" s="8">
        <f>454260</f>
        <v>454260</v>
      </c>
      <c r="F19" s="8">
        <f t="shared" ref="F19:F22" si="7">E19*30.2%</f>
        <v>137186.51999999999</v>
      </c>
      <c r="G19" s="8">
        <f>E19+F19</f>
        <v>591446.52</v>
      </c>
      <c r="H19" s="8">
        <f>454260</f>
        <v>454260</v>
      </c>
      <c r="I19" s="8">
        <f t="shared" ref="I19:I27" si="8">H19*30.2%</f>
        <v>137186.51999999999</v>
      </c>
      <c r="J19" s="8">
        <f>H19+I19</f>
        <v>591446.52</v>
      </c>
    </row>
    <row r="20" spans="1:11">
      <c r="A20" s="7" t="s">
        <v>15</v>
      </c>
      <c r="B20" s="8">
        <v>454260</v>
      </c>
      <c r="C20" s="8">
        <f t="shared" si="3"/>
        <v>137186.51999999999</v>
      </c>
      <c r="D20" s="8">
        <f t="shared" ref="D20:D27" si="9">B20+C20</f>
        <v>591446.52</v>
      </c>
      <c r="E20" s="8">
        <v>454260</v>
      </c>
      <c r="F20" s="8">
        <f t="shared" si="7"/>
        <v>137186.51999999999</v>
      </c>
      <c r="G20" s="8">
        <f t="shared" ref="G20:G26" si="10">E20+F20</f>
        <v>591446.52</v>
      </c>
      <c r="H20" s="8">
        <v>454260</v>
      </c>
      <c r="I20" s="8">
        <f t="shared" si="8"/>
        <v>137186.51999999999</v>
      </c>
      <c r="J20" s="8">
        <f t="shared" ref="J20:J27" si="11">H20+I20</f>
        <v>591446.52</v>
      </c>
    </row>
    <row r="21" spans="1:11">
      <c r="A21" s="7" t="s">
        <v>16</v>
      </c>
      <c r="B21" s="8">
        <v>180000</v>
      </c>
      <c r="C21" s="8">
        <v>0</v>
      </c>
      <c r="D21" s="8">
        <f t="shared" si="9"/>
        <v>180000</v>
      </c>
      <c r="E21" s="8">
        <v>180000</v>
      </c>
      <c r="F21" s="8">
        <v>0</v>
      </c>
      <c r="G21" s="8">
        <f t="shared" si="10"/>
        <v>180000</v>
      </c>
      <c r="H21" s="8">
        <v>180000</v>
      </c>
      <c r="I21" s="8">
        <v>0</v>
      </c>
      <c r="J21" s="8">
        <f t="shared" si="11"/>
        <v>180000</v>
      </c>
      <c r="K21" s="3">
        <v>15000</v>
      </c>
    </row>
    <row r="22" spans="1:11">
      <c r="A22" s="7" t="s">
        <v>17</v>
      </c>
      <c r="B22" s="8">
        <f>454300</f>
        <v>454300</v>
      </c>
      <c r="C22" s="8">
        <f t="shared" si="3"/>
        <v>137198.6</v>
      </c>
      <c r="D22" s="8">
        <f t="shared" si="9"/>
        <v>591498.6</v>
      </c>
      <c r="E22" s="8">
        <f>454300</f>
        <v>454300</v>
      </c>
      <c r="F22" s="8">
        <f t="shared" si="7"/>
        <v>137198.6</v>
      </c>
      <c r="G22" s="8">
        <f t="shared" si="10"/>
        <v>591498.6</v>
      </c>
      <c r="H22" s="8">
        <f>454300</f>
        <v>454300</v>
      </c>
      <c r="I22" s="8">
        <f t="shared" si="8"/>
        <v>137198.6</v>
      </c>
      <c r="J22" s="8">
        <f t="shared" si="11"/>
        <v>591498.6</v>
      </c>
      <c r="K22" s="2"/>
    </row>
    <row r="23" spans="1:11">
      <c r="A23" s="7" t="s">
        <v>18</v>
      </c>
      <c r="B23" s="8">
        <f>120000</f>
        <v>120000</v>
      </c>
      <c r="C23" s="8">
        <v>0</v>
      </c>
      <c r="D23" s="8">
        <f t="shared" si="9"/>
        <v>120000</v>
      </c>
      <c r="E23" s="8">
        <f>120000</f>
        <v>120000</v>
      </c>
      <c r="F23" s="8">
        <v>0</v>
      </c>
      <c r="G23" s="8">
        <f t="shared" si="10"/>
        <v>120000</v>
      </c>
      <c r="H23" s="8">
        <v>120000</v>
      </c>
      <c r="I23" s="8">
        <v>0</v>
      </c>
      <c r="J23" s="8">
        <f t="shared" si="11"/>
        <v>120000</v>
      </c>
      <c r="K23" s="3">
        <v>10000</v>
      </c>
    </row>
    <row r="24" spans="1:11">
      <c r="A24" s="7" t="s">
        <v>19</v>
      </c>
      <c r="B24" s="8">
        <f>60000</f>
        <v>60000</v>
      </c>
      <c r="C24" s="8">
        <v>0</v>
      </c>
      <c r="D24" s="8">
        <f t="shared" si="9"/>
        <v>60000</v>
      </c>
      <c r="E24" s="8">
        <f>60000</f>
        <v>60000</v>
      </c>
      <c r="F24" s="8">
        <v>0</v>
      </c>
      <c r="G24" s="8">
        <f t="shared" si="10"/>
        <v>60000</v>
      </c>
      <c r="H24" s="8">
        <f>60000</f>
        <v>60000</v>
      </c>
      <c r="I24" s="8">
        <v>0</v>
      </c>
      <c r="J24" s="8">
        <f t="shared" si="11"/>
        <v>60000</v>
      </c>
      <c r="K24" s="2">
        <v>5000</v>
      </c>
    </row>
    <row r="25" spans="1:11">
      <c r="A25" s="7" t="s">
        <v>20</v>
      </c>
      <c r="B25" s="8">
        <f>60000</f>
        <v>60000</v>
      </c>
      <c r="C25" s="8">
        <v>0</v>
      </c>
      <c r="D25" s="8">
        <f t="shared" si="9"/>
        <v>60000</v>
      </c>
      <c r="E25" s="8">
        <f>60000</f>
        <v>60000</v>
      </c>
      <c r="F25" s="8">
        <v>0</v>
      </c>
      <c r="G25" s="8">
        <f t="shared" si="10"/>
        <v>60000</v>
      </c>
      <c r="H25" s="8">
        <f>60000</f>
        <v>60000</v>
      </c>
      <c r="I25" s="8">
        <v>0</v>
      </c>
      <c r="J25" s="8">
        <f t="shared" si="11"/>
        <v>60000</v>
      </c>
      <c r="K25" s="4">
        <v>5000</v>
      </c>
    </row>
    <row r="26" spans="1:11">
      <c r="A26" s="7" t="s">
        <v>21</v>
      </c>
      <c r="B26" s="8">
        <f>60000</f>
        <v>60000</v>
      </c>
      <c r="C26" s="8">
        <v>0</v>
      </c>
      <c r="D26" s="8">
        <f t="shared" si="9"/>
        <v>60000</v>
      </c>
      <c r="E26" s="8">
        <f>60000</f>
        <v>60000</v>
      </c>
      <c r="F26" s="8">
        <v>0</v>
      </c>
      <c r="G26" s="8">
        <f t="shared" si="10"/>
        <v>60000</v>
      </c>
      <c r="H26" s="8">
        <f>60000</f>
        <v>60000</v>
      </c>
      <c r="I26" s="8">
        <v>0</v>
      </c>
      <c r="J26" s="8">
        <f t="shared" si="11"/>
        <v>60000</v>
      </c>
      <c r="K26" s="2">
        <v>5000</v>
      </c>
    </row>
    <row r="27" spans="1:11">
      <c r="A27" s="7" t="s">
        <v>22</v>
      </c>
      <c r="B27" s="8">
        <v>777600</v>
      </c>
      <c r="C27" s="8">
        <v>234830</v>
      </c>
      <c r="D27" s="8">
        <f t="shared" si="9"/>
        <v>1012430</v>
      </c>
      <c r="E27" s="8">
        <f>469893</f>
        <v>469893</v>
      </c>
      <c r="F27" s="8">
        <f t="shared" ref="F27:F35" si="12">E27*30.2%</f>
        <v>141907.68599999999</v>
      </c>
      <c r="G27" s="8">
        <f t="shared" ref="G27" si="13">E27+F27</f>
        <v>611800.68599999999</v>
      </c>
      <c r="H27" s="8">
        <f>469893</f>
        <v>469893</v>
      </c>
      <c r="I27" s="8">
        <f t="shared" si="8"/>
        <v>141907.68599999999</v>
      </c>
      <c r="J27" s="8">
        <f t="shared" si="11"/>
        <v>611800.68599999999</v>
      </c>
      <c r="K27" s="2"/>
    </row>
    <row r="28" spans="1:11">
      <c r="A28" s="11" t="s">
        <v>24</v>
      </c>
      <c r="B28" s="9">
        <f t="shared" ref="B28:J28" si="14">SUM(B19:B27)</f>
        <v>2620420</v>
      </c>
      <c r="C28" s="9">
        <f t="shared" si="14"/>
        <v>646401.64</v>
      </c>
      <c r="D28" s="9">
        <f t="shared" si="14"/>
        <v>3266821.64</v>
      </c>
      <c r="E28" s="9">
        <f t="shared" si="14"/>
        <v>2312713</v>
      </c>
      <c r="F28" s="9">
        <f t="shared" si="14"/>
        <v>553479.326</v>
      </c>
      <c r="G28" s="9">
        <f t="shared" si="14"/>
        <v>2866192.3260000004</v>
      </c>
      <c r="H28" s="9">
        <f t="shared" si="14"/>
        <v>2312713</v>
      </c>
      <c r="I28" s="9">
        <f t="shared" si="14"/>
        <v>553479.326</v>
      </c>
      <c r="J28" s="9">
        <f t="shared" si="14"/>
        <v>2866192.3260000004</v>
      </c>
    </row>
    <row r="29" spans="1:11">
      <c r="A29" s="7" t="s">
        <v>14</v>
      </c>
      <c r="B29" s="8">
        <f>405005</f>
        <v>405005</v>
      </c>
      <c r="C29" s="8">
        <f t="shared" ref="C29:C37" si="15">B29*30.2%</f>
        <v>122311.51</v>
      </c>
      <c r="D29" s="8">
        <f>B29+C29</f>
        <v>527316.51</v>
      </c>
      <c r="E29" s="8">
        <f>405005</f>
        <v>405005</v>
      </c>
      <c r="F29" s="8">
        <f t="shared" si="12"/>
        <v>122311.51</v>
      </c>
      <c r="G29" s="8">
        <f>E29+F29</f>
        <v>527316.51</v>
      </c>
      <c r="H29" s="8">
        <f>405005</f>
        <v>405005</v>
      </c>
      <c r="I29" s="8">
        <f t="shared" ref="I29:I37" si="16">H29*30.2%</f>
        <v>122311.51</v>
      </c>
      <c r="J29" s="8">
        <f>H29+I29</f>
        <v>527316.51</v>
      </c>
    </row>
    <row r="30" spans="1:11">
      <c r="A30" s="7" t="s">
        <v>15</v>
      </c>
      <c r="B30" s="8">
        <f>417500</f>
        <v>417500</v>
      </c>
      <c r="C30" s="8">
        <f t="shared" si="15"/>
        <v>126085</v>
      </c>
      <c r="D30" s="8">
        <f t="shared" ref="D30:D37" si="17">B30+C30</f>
        <v>543585</v>
      </c>
      <c r="E30" s="8">
        <f>417500</f>
        <v>417500</v>
      </c>
      <c r="F30" s="8">
        <f t="shared" si="12"/>
        <v>126085</v>
      </c>
      <c r="G30" s="8">
        <f t="shared" ref="G30:G37" si="18">E30+F30</f>
        <v>543585</v>
      </c>
      <c r="H30" s="8">
        <f>417500</f>
        <v>417500</v>
      </c>
      <c r="I30" s="8">
        <f t="shared" si="16"/>
        <v>126085</v>
      </c>
      <c r="J30" s="8">
        <f t="shared" ref="J30:J37" si="19">H30+I30</f>
        <v>543585</v>
      </c>
    </row>
    <row r="31" spans="1:11">
      <c r="A31" s="7" t="s">
        <v>16</v>
      </c>
      <c r="B31" s="8">
        <f>419200</f>
        <v>419200</v>
      </c>
      <c r="C31" s="8">
        <f t="shared" si="15"/>
        <v>126598.39999999999</v>
      </c>
      <c r="D31" s="8">
        <f t="shared" si="17"/>
        <v>545798.40000000002</v>
      </c>
      <c r="E31" s="8">
        <f>419200</f>
        <v>419200</v>
      </c>
      <c r="F31" s="8">
        <f t="shared" si="12"/>
        <v>126598.39999999999</v>
      </c>
      <c r="G31" s="8">
        <f t="shared" si="18"/>
        <v>545798.40000000002</v>
      </c>
      <c r="H31" s="8">
        <f>419200</f>
        <v>419200</v>
      </c>
      <c r="I31" s="8">
        <f t="shared" si="16"/>
        <v>126598.39999999999</v>
      </c>
      <c r="J31" s="8">
        <f t="shared" si="19"/>
        <v>545798.40000000002</v>
      </c>
    </row>
    <row r="32" spans="1:11">
      <c r="A32" s="7" t="s">
        <v>17</v>
      </c>
      <c r="B32" s="8">
        <f>438160</f>
        <v>438160</v>
      </c>
      <c r="C32" s="8">
        <f t="shared" si="15"/>
        <v>132324.32</v>
      </c>
      <c r="D32" s="8">
        <f t="shared" si="17"/>
        <v>570484.32000000007</v>
      </c>
      <c r="E32" s="8">
        <f>438160</f>
        <v>438160</v>
      </c>
      <c r="F32" s="8">
        <f t="shared" si="12"/>
        <v>132324.32</v>
      </c>
      <c r="G32" s="8">
        <f t="shared" si="18"/>
        <v>570484.32000000007</v>
      </c>
      <c r="H32" s="8">
        <f>438160</f>
        <v>438160</v>
      </c>
      <c r="I32" s="8">
        <f t="shared" si="16"/>
        <v>132324.32</v>
      </c>
      <c r="J32" s="8">
        <f t="shared" si="19"/>
        <v>570484.32000000007</v>
      </c>
    </row>
    <row r="33" spans="1:10">
      <c r="A33" s="7" t="s">
        <v>18</v>
      </c>
      <c r="B33" s="8">
        <f>396250</f>
        <v>396250</v>
      </c>
      <c r="C33" s="8">
        <f t="shared" si="15"/>
        <v>119667.5</v>
      </c>
      <c r="D33" s="8">
        <f t="shared" si="17"/>
        <v>515917.5</v>
      </c>
      <c r="E33" s="8">
        <f>396250</f>
        <v>396250</v>
      </c>
      <c r="F33" s="8">
        <f t="shared" si="12"/>
        <v>119667.5</v>
      </c>
      <c r="G33" s="8">
        <f t="shared" si="18"/>
        <v>515917.5</v>
      </c>
      <c r="H33" s="8">
        <f>396250</f>
        <v>396250</v>
      </c>
      <c r="I33" s="8">
        <f t="shared" si="16"/>
        <v>119667.5</v>
      </c>
      <c r="J33" s="8">
        <f t="shared" si="19"/>
        <v>515917.5</v>
      </c>
    </row>
    <row r="34" spans="1:10">
      <c r="A34" s="7" t="s">
        <v>19</v>
      </c>
      <c r="B34" s="8">
        <f>396210</f>
        <v>396210</v>
      </c>
      <c r="C34" s="8">
        <f t="shared" si="15"/>
        <v>119655.42</v>
      </c>
      <c r="D34" s="8">
        <f t="shared" si="17"/>
        <v>515865.42</v>
      </c>
      <c r="E34" s="8">
        <f>396210</f>
        <v>396210</v>
      </c>
      <c r="F34" s="8">
        <f t="shared" si="12"/>
        <v>119655.42</v>
      </c>
      <c r="G34" s="8">
        <f t="shared" si="18"/>
        <v>515865.42</v>
      </c>
      <c r="H34" s="8">
        <f>396210</f>
        <v>396210</v>
      </c>
      <c r="I34" s="8">
        <f t="shared" si="16"/>
        <v>119655.42</v>
      </c>
      <c r="J34" s="8">
        <f t="shared" si="19"/>
        <v>515865.42</v>
      </c>
    </row>
    <row r="35" spans="1:10">
      <c r="A35" s="7" t="s">
        <v>20</v>
      </c>
      <c r="B35" s="8">
        <f>396250</f>
        <v>396250</v>
      </c>
      <c r="C35" s="8">
        <f t="shared" si="15"/>
        <v>119667.5</v>
      </c>
      <c r="D35" s="8">
        <f t="shared" si="17"/>
        <v>515917.5</v>
      </c>
      <c r="E35" s="8">
        <f>396250</f>
        <v>396250</v>
      </c>
      <c r="F35" s="8">
        <f t="shared" si="12"/>
        <v>119667.5</v>
      </c>
      <c r="G35" s="8">
        <f t="shared" si="18"/>
        <v>515917.5</v>
      </c>
      <c r="H35" s="8">
        <f>396250</f>
        <v>396250</v>
      </c>
      <c r="I35" s="8">
        <f t="shared" si="16"/>
        <v>119667.5</v>
      </c>
      <c r="J35" s="8">
        <f t="shared" si="19"/>
        <v>515917.5</v>
      </c>
    </row>
    <row r="36" spans="1:10">
      <c r="A36" s="7" t="s">
        <v>21</v>
      </c>
      <c r="B36" s="8">
        <f>429860</f>
        <v>429860</v>
      </c>
      <c r="C36" s="8">
        <f t="shared" si="15"/>
        <v>129817.72</v>
      </c>
      <c r="D36" s="8">
        <f t="shared" si="17"/>
        <v>559677.72</v>
      </c>
      <c r="E36" s="8">
        <v>429860</v>
      </c>
      <c r="F36" s="8">
        <f>E36*30.2%</f>
        <v>129817.72</v>
      </c>
      <c r="G36" s="8">
        <f t="shared" si="18"/>
        <v>559677.72</v>
      </c>
      <c r="H36" s="8">
        <f>429860</f>
        <v>429860</v>
      </c>
      <c r="I36" s="8">
        <f t="shared" si="16"/>
        <v>129817.72</v>
      </c>
      <c r="J36" s="8">
        <f t="shared" si="19"/>
        <v>559677.72</v>
      </c>
    </row>
    <row r="37" spans="1:10">
      <c r="A37" s="7" t="s">
        <v>22</v>
      </c>
      <c r="B37" s="8"/>
      <c r="C37" s="8">
        <f t="shared" si="15"/>
        <v>0</v>
      </c>
      <c r="D37" s="8">
        <f t="shared" si="17"/>
        <v>0</v>
      </c>
      <c r="E37" s="8"/>
      <c r="F37" s="8">
        <f t="shared" ref="F37" si="20">E37*30.2%</f>
        <v>0</v>
      </c>
      <c r="G37" s="8">
        <f t="shared" si="18"/>
        <v>0</v>
      </c>
      <c r="H37" s="8"/>
      <c r="I37" s="8">
        <f t="shared" si="16"/>
        <v>0</v>
      </c>
      <c r="J37" s="8">
        <f t="shared" si="19"/>
        <v>0</v>
      </c>
    </row>
    <row r="38" spans="1:10">
      <c r="A38" s="12" t="s">
        <v>23</v>
      </c>
      <c r="B38" s="13">
        <f t="shared" ref="B38:J38" si="21">SUM(B29:B37)</f>
        <v>3298435</v>
      </c>
      <c r="C38" s="13">
        <f t="shared" si="21"/>
        <v>996127.37</v>
      </c>
      <c r="D38" s="13">
        <f t="shared" si="21"/>
        <v>4294562.37</v>
      </c>
      <c r="E38" s="13">
        <f t="shared" si="21"/>
        <v>3298435</v>
      </c>
      <c r="F38" s="13">
        <f t="shared" si="21"/>
        <v>996127.37</v>
      </c>
      <c r="G38" s="13">
        <f t="shared" si="21"/>
        <v>4294562.37</v>
      </c>
      <c r="H38" s="13">
        <f t="shared" si="21"/>
        <v>3298435</v>
      </c>
      <c r="I38" s="13">
        <f t="shared" si="21"/>
        <v>996127.37</v>
      </c>
      <c r="J38" s="13">
        <f t="shared" si="21"/>
        <v>4294562.37</v>
      </c>
    </row>
    <row r="39" spans="1:10">
      <c r="A39" s="7" t="s">
        <v>14</v>
      </c>
      <c r="B39" s="8">
        <f>464890+343800</f>
        <v>808690</v>
      </c>
      <c r="C39" s="8">
        <f t="shared" ref="C39:C47" si="22">B39*30.2%</f>
        <v>244224.38</v>
      </c>
      <c r="D39" s="8">
        <f>B39+C39</f>
        <v>1052914.3799999999</v>
      </c>
      <c r="E39" s="8">
        <f>464890+343800</f>
        <v>808690</v>
      </c>
      <c r="F39" s="8">
        <f t="shared" ref="F39:F47" si="23">E39*30.2%</f>
        <v>244224.38</v>
      </c>
      <c r="G39" s="8">
        <f>E39+F39</f>
        <v>1052914.3799999999</v>
      </c>
      <c r="H39" s="8">
        <f>464890+343800</f>
        <v>808690</v>
      </c>
      <c r="I39" s="8">
        <f t="shared" ref="I39:I47" si="24">H39*30.2%</f>
        <v>244224.38</v>
      </c>
      <c r="J39" s="8">
        <f>H39+I39</f>
        <v>1052914.3799999999</v>
      </c>
    </row>
    <row r="40" spans="1:10">
      <c r="A40" s="7" t="s">
        <v>15</v>
      </c>
      <c r="B40" s="8">
        <f>501770+252000</f>
        <v>753770</v>
      </c>
      <c r="C40" s="8">
        <f t="shared" si="22"/>
        <v>227638.53999999998</v>
      </c>
      <c r="D40" s="8">
        <f t="shared" ref="D40:D47" si="25">B40+C40</f>
        <v>981408.54</v>
      </c>
      <c r="E40" s="8">
        <f>501770+252000</f>
        <v>753770</v>
      </c>
      <c r="F40" s="8">
        <f t="shared" si="23"/>
        <v>227638.53999999998</v>
      </c>
      <c r="G40" s="8">
        <f t="shared" ref="G40:G47" si="26">E40+F40</f>
        <v>981408.54</v>
      </c>
      <c r="H40" s="8">
        <f>501770+252000</f>
        <v>753770</v>
      </c>
      <c r="I40" s="8">
        <f t="shared" si="24"/>
        <v>227638.53999999998</v>
      </c>
      <c r="J40" s="8">
        <f t="shared" ref="J40:J47" si="27">H40+I40</f>
        <v>981408.54</v>
      </c>
    </row>
    <row r="41" spans="1:10">
      <c r="A41" s="7" t="s">
        <v>16</v>
      </c>
      <c r="B41" s="8">
        <f>272300+364300</f>
        <v>636600</v>
      </c>
      <c r="C41" s="8">
        <f t="shared" si="22"/>
        <v>192253.19999999998</v>
      </c>
      <c r="D41" s="8">
        <f t="shared" si="25"/>
        <v>828853.2</v>
      </c>
      <c r="E41" s="8">
        <f>272300+364300</f>
        <v>636600</v>
      </c>
      <c r="F41" s="8">
        <f t="shared" si="23"/>
        <v>192253.19999999998</v>
      </c>
      <c r="G41" s="8">
        <f t="shared" si="26"/>
        <v>828853.2</v>
      </c>
      <c r="H41" s="8">
        <f>272300+364300</f>
        <v>636600</v>
      </c>
      <c r="I41" s="8">
        <f t="shared" si="24"/>
        <v>192253.19999999998</v>
      </c>
      <c r="J41" s="8">
        <f t="shared" si="27"/>
        <v>828853.2</v>
      </c>
    </row>
    <row r="42" spans="1:10">
      <c r="A42" s="7" t="s">
        <v>17</v>
      </c>
      <c r="B42" s="8">
        <f>443850+329860</f>
        <v>773710</v>
      </c>
      <c r="C42" s="8">
        <f t="shared" si="22"/>
        <v>233660.41999999998</v>
      </c>
      <c r="D42" s="8">
        <f t="shared" si="25"/>
        <v>1007370.4199999999</v>
      </c>
      <c r="E42" s="8">
        <f>443850+329860</f>
        <v>773710</v>
      </c>
      <c r="F42" s="8">
        <f t="shared" si="23"/>
        <v>233660.41999999998</v>
      </c>
      <c r="G42" s="8">
        <f t="shared" si="26"/>
        <v>1007370.4199999999</v>
      </c>
      <c r="H42" s="8">
        <f>443850+329860</f>
        <v>773710</v>
      </c>
      <c r="I42" s="8">
        <f t="shared" si="24"/>
        <v>233660.41999999998</v>
      </c>
      <c r="J42" s="8">
        <f t="shared" si="27"/>
        <v>1007370.4199999999</v>
      </c>
    </row>
    <row r="43" spans="1:10">
      <c r="A43" s="7" t="s">
        <v>18</v>
      </c>
      <c r="B43" s="8">
        <f>256000+397000</f>
        <v>653000</v>
      </c>
      <c r="C43" s="8">
        <f t="shared" si="22"/>
        <v>197206</v>
      </c>
      <c r="D43" s="8">
        <f t="shared" si="25"/>
        <v>850206</v>
      </c>
      <c r="E43" s="8">
        <f>256000+397000</f>
        <v>653000</v>
      </c>
      <c r="F43" s="8">
        <f t="shared" si="23"/>
        <v>197206</v>
      </c>
      <c r="G43" s="8">
        <f t="shared" si="26"/>
        <v>850206</v>
      </c>
      <c r="H43" s="8">
        <f>256000+397000</f>
        <v>653000</v>
      </c>
      <c r="I43" s="8">
        <f t="shared" si="24"/>
        <v>197206</v>
      </c>
      <c r="J43" s="8">
        <f t="shared" si="27"/>
        <v>850206</v>
      </c>
    </row>
    <row r="44" spans="1:10">
      <c r="A44" s="7" t="s">
        <v>19</v>
      </c>
      <c r="B44" s="8">
        <f>301820+314580</f>
        <v>616400</v>
      </c>
      <c r="C44" s="8">
        <f t="shared" si="22"/>
        <v>186152.8</v>
      </c>
      <c r="D44" s="8">
        <f t="shared" si="25"/>
        <v>802552.8</v>
      </c>
      <c r="E44" s="8">
        <f>301820+314580</f>
        <v>616400</v>
      </c>
      <c r="F44" s="8">
        <f t="shared" si="23"/>
        <v>186152.8</v>
      </c>
      <c r="G44" s="8">
        <f t="shared" si="26"/>
        <v>802552.8</v>
      </c>
      <c r="H44" s="8">
        <f>301820+314580</f>
        <v>616400</v>
      </c>
      <c r="I44" s="8">
        <f t="shared" si="24"/>
        <v>186152.8</v>
      </c>
      <c r="J44" s="8">
        <f t="shared" si="27"/>
        <v>802552.8</v>
      </c>
    </row>
    <row r="45" spans="1:10">
      <c r="A45" s="7" t="s">
        <v>20</v>
      </c>
      <c r="B45" s="8">
        <f>400180+274310</f>
        <v>674490</v>
      </c>
      <c r="C45" s="8">
        <f t="shared" si="22"/>
        <v>203695.97999999998</v>
      </c>
      <c r="D45" s="8">
        <f t="shared" si="25"/>
        <v>878185.98</v>
      </c>
      <c r="E45" s="8">
        <f>400180+274310</f>
        <v>674490</v>
      </c>
      <c r="F45" s="8">
        <f t="shared" si="23"/>
        <v>203695.97999999998</v>
      </c>
      <c r="G45" s="8">
        <f t="shared" si="26"/>
        <v>878185.98</v>
      </c>
      <c r="H45" s="8">
        <f>400180+274310</f>
        <v>674490</v>
      </c>
      <c r="I45" s="8">
        <f t="shared" si="24"/>
        <v>203695.97999999998</v>
      </c>
      <c r="J45" s="8">
        <f t="shared" si="27"/>
        <v>878185.98</v>
      </c>
    </row>
    <row r="46" spans="1:10">
      <c r="A46" s="7" t="s">
        <v>21</v>
      </c>
      <c r="B46" s="8">
        <f>285920+353760</f>
        <v>639680</v>
      </c>
      <c r="C46" s="8">
        <f t="shared" si="22"/>
        <v>193183.35999999999</v>
      </c>
      <c r="D46" s="8">
        <f t="shared" si="25"/>
        <v>832863.36</v>
      </c>
      <c r="E46" s="8">
        <f>285920+353760</f>
        <v>639680</v>
      </c>
      <c r="F46" s="8">
        <f t="shared" si="23"/>
        <v>193183.35999999999</v>
      </c>
      <c r="G46" s="8">
        <f t="shared" si="26"/>
        <v>832863.36</v>
      </c>
      <c r="H46" s="8">
        <f>285920+353760</f>
        <v>639680</v>
      </c>
      <c r="I46" s="8">
        <f t="shared" si="24"/>
        <v>193183.35999999999</v>
      </c>
      <c r="J46" s="8">
        <f t="shared" si="27"/>
        <v>832863.36</v>
      </c>
    </row>
    <row r="47" spans="1:10">
      <c r="A47" s="7" t="s">
        <v>22</v>
      </c>
      <c r="B47" s="8"/>
      <c r="C47" s="8">
        <f t="shared" si="22"/>
        <v>0</v>
      </c>
      <c r="D47" s="8">
        <f t="shared" si="25"/>
        <v>0</v>
      </c>
      <c r="E47" s="8"/>
      <c r="F47" s="8">
        <f t="shared" si="23"/>
        <v>0</v>
      </c>
      <c r="G47" s="8">
        <f t="shared" si="26"/>
        <v>0</v>
      </c>
      <c r="H47" s="8"/>
      <c r="I47" s="8">
        <f t="shared" si="24"/>
        <v>0</v>
      </c>
      <c r="J47" s="8">
        <f t="shared" si="27"/>
        <v>0</v>
      </c>
    </row>
    <row r="48" spans="1:10">
      <c r="A48" s="12" t="s">
        <v>25</v>
      </c>
      <c r="B48" s="13">
        <f t="shared" ref="B48:J48" si="28">SUM(B39:B47)</f>
        <v>5556340</v>
      </c>
      <c r="C48" s="13">
        <f t="shared" si="28"/>
        <v>1678014.6800000002</v>
      </c>
      <c r="D48" s="13">
        <f t="shared" si="28"/>
        <v>7234354.6800000006</v>
      </c>
      <c r="E48" s="13">
        <f t="shared" si="28"/>
        <v>5556340</v>
      </c>
      <c r="F48" s="13">
        <f t="shared" si="28"/>
        <v>1678014.6800000002</v>
      </c>
      <c r="G48" s="13">
        <f t="shared" si="28"/>
        <v>7234354.6800000006</v>
      </c>
      <c r="H48" s="13">
        <f t="shared" si="28"/>
        <v>5556340</v>
      </c>
      <c r="I48" s="13">
        <f t="shared" si="28"/>
        <v>1678014.6800000002</v>
      </c>
      <c r="J48" s="13">
        <f t="shared" si="28"/>
        <v>7234354.6800000006</v>
      </c>
    </row>
    <row r="49" spans="1:11">
      <c r="A49" s="7" t="s">
        <v>14</v>
      </c>
      <c r="B49" s="8">
        <f>201000</f>
        <v>201000</v>
      </c>
      <c r="C49" s="8">
        <f t="shared" ref="C49:C57" si="29">B49*30.2%</f>
        <v>60702</v>
      </c>
      <c r="D49" s="8">
        <f>B49+C49</f>
        <v>261702</v>
      </c>
      <c r="E49" s="8">
        <f>201000</f>
        <v>201000</v>
      </c>
      <c r="F49" s="8">
        <f t="shared" ref="F49:F57" si="30">E49*30.2%</f>
        <v>60702</v>
      </c>
      <c r="G49" s="8">
        <f>E49+F49</f>
        <v>261702</v>
      </c>
      <c r="H49" s="8">
        <f>201000</f>
        <v>201000</v>
      </c>
      <c r="I49" s="8">
        <f t="shared" ref="I49:I57" si="31">H49*30.2%</f>
        <v>60702</v>
      </c>
      <c r="J49" s="8">
        <f>H49+I49</f>
        <v>261702</v>
      </c>
    </row>
    <row r="50" spans="1:11">
      <c r="A50" s="7" t="s">
        <v>15</v>
      </c>
      <c r="B50" s="8">
        <f>187811.06</f>
        <v>187811.06</v>
      </c>
      <c r="C50" s="8">
        <f t="shared" si="29"/>
        <v>56718.940119999999</v>
      </c>
      <c r="D50" s="8">
        <f t="shared" ref="D50:D57" si="32">B50+C50</f>
        <v>244530.00011999998</v>
      </c>
      <c r="E50" s="8">
        <f>187811.06</f>
        <v>187811.06</v>
      </c>
      <c r="F50" s="8">
        <f t="shared" si="30"/>
        <v>56718.940119999999</v>
      </c>
      <c r="G50" s="8">
        <f t="shared" ref="G50:G57" si="33">E50+F50</f>
        <v>244530.00011999998</v>
      </c>
      <c r="H50" s="8">
        <f>187811.06</f>
        <v>187811.06</v>
      </c>
      <c r="I50" s="8">
        <f t="shared" si="31"/>
        <v>56718.940119999999</v>
      </c>
      <c r="J50" s="8">
        <f t="shared" ref="J50:J57" si="34">H50+I50</f>
        <v>244530.00011999998</v>
      </c>
    </row>
    <row r="51" spans="1:11">
      <c r="A51" s="7" t="s">
        <v>16</v>
      </c>
      <c r="B51" s="8">
        <f>202600</f>
        <v>202600</v>
      </c>
      <c r="C51" s="8">
        <f t="shared" si="29"/>
        <v>61185.2</v>
      </c>
      <c r="D51" s="8">
        <f t="shared" si="32"/>
        <v>263785.2</v>
      </c>
      <c r="E51" s="8">
        <f>202600</f>
        <v>202600</v>
      </c>
      <c r="F51" s="8">
        <f t="shared" si="30"/>
        <v>61185.2</v>
      </c>
      <c r="G51" s="8">
        <f t="shared" si="33"/>
        <v>263785.2</v>
      </c>
      <c r="H51" s="8">
        <f>202600</f>
        <v>202600</v>
      </c>
      <c r="I51" s="8">
        <f t="shared" si="31"/>
        <v>61185.2</v>
      </c>
      <c r="J51" s="8">
        <f t="shared" si="34"/>
        <v>263785.2</v>
      </c>
    </row>
    <row r="52" spans="1:11">
      <c r="A52" s="7" t="s">
        <v>17</v>
      </c>
      <c r="B52" s="8">
        <f>200930</f>
        <v>200930</v>
      </c>
      <c r="C52" s="8">
        <f t="shared" si="29"/>
        <v>60680.86</v>
      </c>
      <c r="D52" s="8">
        <f t="shared" si="32"/>
        <v>261610.86</v>
      </c>
      <c r="E52" s="8">
        <f>200930</f>
        <v>200930</v>
      </c>
      <c r="F52" s="8">
        <f t="shared" si="30"/>
        <v>60680.86</v>
      </c>
      <c r="G52" s="8">
        <f t="shared" si="33"/>
        <v>261610.86</v>
      </c>
      <c r="H52" s="8">
        <f>200930</f>
        <v>200930</v>
      </c>
      <c r="I52" s="8">
        <f t="shared" si="31"/>
        <v>60680.86</v>
      </c>
      <c r="J52" s="8">
        <f t="shared" si="34"/>
        <v>261610.86</v>
      </c>
    </row>
    <row r="53" spans="1:11">
      <c r="A53" s="7" t="s">
        <v>18</v>
      </c>
      <c r="B53" s="8">
        <f>201000</f>
        <v>201000</v>
      </c>
      <c r="C53" s="8">
        <f t="shared" si="29"/>
        <v>60702</v>
      </c>
      <c r="D53" s="8">
        <f t="shared" si="32"/>
        <v>261702</v>
      </c>
      <c r="E53" s="8">
        <f>201000</f>
        <v>201000</v>
      </c>
      <c r="F53" s="8">
        <f t="shared" si="30"/>
        <v>60702</v>
      </c>
      <c r="G53" s="8">
        <f t="shared" si="33"/>
        <v>261702</v>
      </c>
      <c r="H53" s="8">
        <f>201000</f>
        <v>201000</v>
      </c>
      <c r="I53" s="8">
        <f t="shared" si="31"/>
        <v>60702</v>
      </c>
      <c r="J53" s="8">
        <f t="shared" si="34"/>
        <v>261702</v>
      </c>
    </row>
    <row r="54" spans="1:11">
      <c r="A54" s="7" t="s">
        <v>19</v>
      </c>
      <c r="B54" s="8">
        <f>200940</f>
        <v>200940</v>
      </c>
      <c r="C54" s="8">
        <f t="shared" si="29"/>
        <v>60683.88</v>
      </c>
      <c r="D54" s="8">
        <f t="shared" si="32"/>
        <v>261623.88</v>
      </c>
      <c r="E54" s="8">
        <f>200940</f>
        <v>200940</v>
      </c>
      <c r="F54" s="8">
        <f t="shared" si="30"/>
        <v>60683.88</v>
      </c>
      <c r="G54" s="8">
        <f t="shared" si="33"/>
        <v>261623.88</v>
      </c>
      <c r="H54" s="8">
        <f>200940</f>
        <v>200940</v>
      </c>
      <c r="I54" s="8">
        <f t="shared" si="31"/>
        <v>60683.88</v>
      </c>
      <c r="J54" s="8">
        <f t="shared" si="34"/>
        <v>261623.88</v>
      </c>
    </row>
    <row r="55" spans="1:11">
      <c r="A55" s="7" t="s">
        <v>20</v>
      </c>
      <c r="B55" s="8">
        <f>184520</f>
        <v>184520</v>
      </c>
      <c r="C55" s="8">
        <f t="shared" si="29"/>
        <v>55725.04</v>
      </c>
      <c r="D55" s="8">
        <f t="shared" si="32"/>
        <v>240245.04</v>
      </c>
      <c r="E55" s="8">
        <f>184520</f>
        <v>184520</v>
      </c>
      <c r="F55" s="8">
        <f t="shared" si="30"/>
        <v>55725.04</v>
      </c>
      <c r="G55" s="8">
        <f t="shared" si="33"/>
        <v>240245.04</v>
      </c>
      <c r="H55" s="8">
        <f>184520</f>
        <v>184520</v>
      </c>
      <c r="I55" s="8">
        <f t="shared" si="31"/>
        <v>55725.04</v>
      </c>
      <c r="J55" s="8">
        <f t="shared" si="34"/>
        <v>240245.04</v>
      </c>
    </row>
    <row r="56" spans="1:11">
      <c r="A56" s="7" t="s">
        <v>21</v>
      </c>
      <c r="B56" s="8">
        <f>202560</f>
        <v>202560</v>
      </c>
      <c r="C56" s="8">
        <f t="shared" si="29"/>
        <v>61173.119999999995</v>
      </c>
      <c r="D56" s="8">
        <f t="shared" si="32"/>
        <v>263733.12</v>
      </c>
      <c r="E56" s="8">
        <f>202560</f>
        <v>202560</v>
      </c>
      <c r="F56" s="8">
        <f t="shared" si="30"/>
        <v>61173.119999999995</v>
      </c>
      <c r="G56" s="8">
        <f t="shared" si="33"/>
        <v>263733.12</v>
      </c>
      <c r="H56" s="8">
        <f>202560</f>
        <v>202560</v>
      </c>
      <c r="I56" s="8">
        <f t="shared" si="31"/>
        <v>61173.119999999995</v>
      </c>
      <c r="J56" s="8">
        <f t="shared" si="34"/>
        <v>263733.12</v>
      </c>
    </row>
    <row r="57" spans="1:11">
      <c r="A57" s="7" t="s">
        <v>22</v>
      </c>
      <c r="B57" s="8"/>
      <c r="C57" s="8">
        <f t="shared" si="29"/>
        <v>0</v>
      </c>
      <c r="D57" s="8">
        <f t="shared" si="32"/>
        <v>0</v>
      </c>
      <c r="E57" s="8"/>
      <c r="F57" s="8">
        <f t="shared" si="30"/>
        <v>0</v>
      </c>
      <c r="G57" s="8">
        <f t="shared" si="33"/>
        <v>0</v>
      </c>
      <c r="H57" s="8"/>
      <c r="I57" s="8">
        <f t="shared" si="31"/>
        <v>0</v>
      </c>
      <c r="J57" s="8">
        <f t="shared" si="34"/>
        <v>0</v>
      </c>
    </row>
    <row r="58" spans="1:11">
      <c r="A58" s="11" t="s">
        <v>26</v>
      </c>
      <c r="B58" s="9">
        <f t="shared" ref="B58:J58" si="35">SUM(B49:B57)</f>
        <v>1581361.06</v>
      </c>
      <c r="C58" s="9">
        <f t="shared" si="35"/>
        <v>477571.04011999996</v>
      </c>
      <c r="D58" s="9">
        <f t="shared" si="35"/>
        <v>2058932.1001200001</v>
      </c>
      <c r="E58" s="9">
        <f t="shared" si="35"/>
        <v>1581361.06</v>
      </c>
      <c r="F58" s="9">
        <f t="shared" si="35"/>
        <v>477571.04011999996</v>
      </c>
      <c r="G58" s="9">
        <f t="shared" si="35"/>
        <v>2058932.1001200001</v>
      </c>
      <c r="H58" s="9">
        <f t="shared" si="35"/>
        <v>1581361.06</v>
      </c>
      <c r="I58" s="9">
        <f t="shared" si="35"/>
        <v>477571.04011999996</v>
      </c>
      <c r="J58" s="9">
        <f t="shared" si="35"/>
        <v>2058932.1001200001</v>
      </c>
    </row>
    <row r="59" spans="1:11">
      <c r="A59" s="7" t="s">
        <v>34</v>
      </c>
      <c r="B59" s="8">
        <v>164612130</v>
      </c>
      <c r="C59" s="8">
        <v>49712870</v>
      </c>
      <c r="D59" s="8">
        <f>B59+C59</f>
        <v>214325000</v>
      </c>
      <c r="E59" s="8">
        <v>164612130</v>
      </c>
      <c r="F59" s="8">
        <v>49712870</v>
      </c>
      <c r="G59" s="8">
        <f>E59+F59</f>
        <v>214325000</v>
      </c>
      <c r="H59" s="8">
        <v>164612130</v>
      </c>
      <c r="I59" s="8">
        <v>49712870</v>
      </c>
      <c r="J59" s="8">
        <f>H59+I59</f>
        <v>214325000</v>
      </c>
    </row>
    <row r="60" spans="1:11">
      <c r="A60" s="7" t="s">
        <v>33</v>
      </c>
      <c r="B60" s="8">
        <v>63901200</v>
      </c>
      <c r="C60" s="8">
        <v>19298200</v>
      </c>
      <c r="D60" s="8">
        <f t="shared" ref="D60:D63" si="36">B60+C60</f>
        <v>83199400</v>
      </c>
      <c r="E60" s="8">
        <v>63901200</v>
      </c>
      <c r="F60" s="8">
        <v>19298200</v>
      </c>
      <c r="G60" s="8">
        <f t="shared" ref="G60:G63" si="37">E60+F60</f>
        <v>83199400</v>
      </c>
      <c r="H60" s="8">
        <v>63901200</v>
      </c>
      <c r="I60" s="8">
        <v>19298200</v>
      </c>
      <c r="J60" s="8">
        <f t="shared" ref="J60:J63" si="38">H60+I60</f>
        <v>83199400</v>
      </c>
    </row>
    <row r="61" spans="1:11">
      <c r="A61" s="7" t="s">
        <v>27</v>
      </c>
      <c r="B61" s="8">
        <v>47225800</v>
      </c>
      <c r="C61" s="8">
        <v>14262200</v>
      </c>
      <c r="D61" s="8">
        <f t="shared" si="36"/>
        <v>61488000</v>
      </c>
      <c r="E61" s="8">
        <v>47225800</v>
      </c>
      <c r="F61" s="8">
        <v>14262200</v>
      </c>
      <c r="G61" s="8">
        <f t="shared" si="37"/>
        <v>61488000</v>
      </c>
      <c r="H61" s="8">
        <v>47225800</v>
      </c>
      <c r="I61" s="8">
        <v>14262200</v>
      </c>
      <c r="J61" s="8">
        <f t="shared" si="38"/>
        <v>61488000</v>
      </c>
    </row>
    <row r="62" spans="1:11">
      <c r="A62" s="7" t="s">
        <v>28</v>
      </c>
      <c r="B62" s="8">
        <f>24394500</f>
        <v>24394500</v>
      </c>
      <c r="C62" s="8">
        <f t="shared" ref="C62:C63" si="39">B62*30.2%</f>
        <v>7367139</v>
      </c>
      <c r="D62" s="8">
        <f t="shared" si="36"/>
        <v>31761639</v>
      </c>
      <c r="E62" s="8">
        <f>35582900</f>
        <v>35582900</v>
      </c>
      <c r="F62" s="8">
        <f t="shared" ref="F62:F63" si="40">E62*30.2%</f>
        <v>10746035.799999999</v>
      </c>
      <c r="G62" s="8">
        <f t="shared" si="37"/>
        <v>46328935.799999997</v>
      </c>
      <c r="H62" s="8">
        <f>37717900</f>
        <v>37717900</v>
      </c>
      <c r="I62" s="8">
        <f t="shared" ref="I62:I63" si="41">H62*30.2%</f>
        <v>11390805.799999999</v>
      </c>
      <c r="J62" s="8">
        <f t="shared" si="38"/>
        <v>49108705.799999997</v>
      </c>
      <c r="K62" s="6">
        <f>H62+E62+B62</f>
        <v>97695300</v>
      </c>
    </row>
    <row r="63" spans="1:11">
      <c r="A63" s="7" t="s">
        <v>29</v>
      </c>
      <c r="B63" s="8">
        <v>8394000</v>
      </c>
      <c r="C63" s="8">
        <f t="shared" si="39"/>
        <v>2534988</v>
      </c>
      <c r="D63" s="8">
        <f t="shared" si="36"/>
        <v>10928988</v>
      </c>
      <c r="E63" s="8">
        <v>8696700</v>
      </c>
      <c r="F63" s="8">
        <f t="shared" si="40"/>
        <v>2626403.4</v>
      </c>
      <c r="G63" s="8">
        <f t="shared" si="37"/>
        <v>11323103.4</v>
      </c>
      <c r="H63" s="8">
        <f>9218500</f>
        <v>9218500</v>
      </c>
      <c r="I63" s="8">
        <f t="shared" si="41"/>
        <v>2783987</v>
      </c>
      <c r="J63" s="8">
        <f t="shared" si="38"/>
        <v>12002487</v>
      </c>
      <c r="K63" s="6"/>
    </row>
    <row r="64" spans="1:11">
      <c r="A64" s="11" t="s">
        <v>30</v>
      </c>
      <c r="B64" s="9">
        <f>SUM(B59:B63)-B61</f>
        <v>261301830</v>
      </c>
      <c r="C64" s="9">
        <f t="shared" ref="C64:J64" si="42">SUM(C59:C63)-C61</f>
        <v>78913197</v>
      </c>
      <c r="D64" s="9">
        <f t="shared" si="42"/>
        <v>340215027</v>
      </c>
      <c r="E64" s="9">
        <f t="shared" si="42"/>
        <v>272792930</v>
      </c>
      <c r="F64" s="9">
        <f t="shared" si="42"/>
        <v>82383509.200000003</v>
      </c>
      <c r="G64" s="9">
        <f t="shared" si="42"/>
        <v>355176439.19999999</v>
      </c>
      <c r="H64" s="9">
        <f t="shared" si="42"/>
        <v>275449730</v>
      </c>
      <c r="I64" s="9">
        <f t="shared" si="42"/>
        <v>83185862.799999997</v>
      </c>
      <c r="J64" s="9">
        <f t="shared" si="42"/>
        <v>358635592.80000001</v>
      </c>
    </row>
    <row r="65" spans="1:10">
      <c r="A65" s="7"/>
      <c r="B65" s="8">
        <f>B64+B58+B48+B38+B28+B18+B7</f>
        <v>326337980.66000003</v>
      </c>
      <c r="C65" s="8">
        <f t="shared" ref="C65:J65" si="43">C64+C58+C48+C38+C28+C18+C7</f>
        <v>98409144.439320013</v>
      </c>
      <c r="D65" s="8">
        <f t="shared" si="43"/>
        <v>424747125.09931999</v>
      </c>
      <c r="E65" s="8">
        <f t="shared" si="43"/>
        <v>337521373.66000003</v>
      </c>
      <c r="F65" s="8">
        <f t="shared" si="43"/>
        <v>101786534.32532002</v>
      </c>
      <c r="G65" s="8">
        <f t="shared" si="43"/>
        <v>439307907.98531997</v>
      </c>
      <c r="H65" s="8">
        <f t="shared" si="43"/>
        <v>340178173.66000003</v>
      </c>
      <c r="I65" s="8">
        <f t="shared" si="43"/>
        <v>102588887.92532001</v>
      </c>
      <c r="J65" s="8">
        <f t="shared" si="43"/>
        <v>442767061.58532</v>
      </c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</sheetData>
  <mergeCells count="3">
    <mergeCell ref="B2:D2"/>
    <mergeCell ref="E2:G2"/>
    <mergeCell ref="H2:J2"/>
  </mergeCells>
  <pageMargins left="0.24" right="0.16" top="0.2" bottom="0.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0"/>
  <sheetViews>
    <sheetView tabSelected="1" topLeftCell="A7" workbookViewId="0">
      <selection activeCell="C20" sqref="C20"/>
    </sheetView>
  </sheetViews>
  <sheetFormatPr defaultRowHeight="15"/>
  <cols>
    <col min="1" max="1" width="28.7109375" style="32" customWidth="1"/>
    <col min="2" max="3" width="14.28515625" customWidth="1"/>
    <col min="4" max="4" width="13.28515625" customWidth="1"/>
  </cols>
  <sheetData>
    <row r="3" spans="1:4" ht="27" customHeight="1">
      <c r="A3" s="33"/>
      <c r="B3" s="15" t="s">
        <v>45</v>
      </c>
      <c r="C3" s="15" t="s">
        <v>46</v>
      </c>
      <c r="D3" s="15" t="s">
        <v>59</v>
      </c>
    </row>
    <row r="4" spans="1:4" ht="27" customHeight="1">
      <c r="A4" s="33" t="s">
        <v>47</v>
      </c>
      <c r="B4" s="34">
        <v>32279.9</v>
      </c>
      <c r="C4" s="34">
        <f>15861.397+19838.5</f>
        <v>35699.896999999997</v>
      </c>
      <c r="D4" s="34">
        <f>B4-C4</f>
        <v>-3419.9969999999958</v>
      </c>
    </row>
    <row r="5" spans="1:4" ht="27" customHeight="1">
      <c r="A5" s="33" t="s">
        <v>48</v>
      </c>
      <c r="B5" s="34">
        <v>339.3</v>
      </c>
      <c r="C5" s="34">
        <v>339.3</v>
      </c>
      <c r="D5" s="34">
        <f t="shared" ref="D5:D20" si="0">B5-C5</f>
        <v>0</v>
      </c>
    </row>
    <row r="6" spans="1:4" ht="27" customHeight="1">
      <c r="A6" s="33" t="s">
        <v>49</v>
      </c>
      <c r="B6" s="34">
        <v>2338.3000000000002</v>
      </c>
      <c r="C6" s="34">
        <v>2346.3000000000002</v>
      </c>
      <c r="D6" s="34">
        <f t="shared" si="0"/>
        <v>-8</v>
      </c>
    </row>
    <row r="7" spans="1:4" ht="27" customHeight="1">
      <c r="A7" s="33" t="s">
        <v>50</v>
      </c>
      <c r="B7" s="34">
        <v>940.9</v>
      </c>
      <c r="C7" s="34">
        <v>1041.2</v>
      </c>
      <c r="D7" s="34">
        <f t="shared" si="0"/>
        <v>-100.30000000000007</v>
      </c>
    </row>
    <row r="8" spans="1:4" ht="27" customHeight="1">
      <c r="A8" s="33" t="s">
        <v>51</v>
      </c>
      <c r="B8" s="34">
        <v>325.5</v>
      </c>
      <c r="C8" s="34">
        <v>325.5</v>
      </c>
      <c r="D8" s="34">
        <f t="shared" si="0"/>
        <v>0</v>
      </c>
    </row>
    <row r="9" spans="1:4" ht="27" customHeight="1">
      <c r="A9" s="33" t="s">
        <v>52</v>
      </c>
      <c r="B9" s="34">
        <v>495.9</v>
      </c>
      <c r="C9" s="34">
        <v>574.6</v>
      </c>
      <c r="D9" s="34">
        <f t="shared" si="0"/>
        <v>-78.700000000000045</v>
      </c>
    </row>
    <row r="10" spans="1:4" ht="27" customHeight="1">
      <c r="A10" s="33" t="s">
        <v>53</v>
      </c>
      <c r="B10" s="34">
        <v>2536.3000000000002</v>
      </c>
      <c r="C10" s="34">
        <v>2769.1990000000001</v>
      </c>
      <c r="D10" s="34">
        <f t="shared" si="0"/>
        <v>-232.89899999999989</v>
      </c>
    </row>
    <row r="11" spans="1:4" ht="27" customHeight="1">
      <c r="A11" s="33" t="s">
        <v>54</v>
      </c>
      <c r="B11" s="34">
        <v>561</v>
      </c>
      <c r="C11" s="34">
        <v>561</v>
      </c>
      <c r="D11" s="34">
        <f t="shared" si="0"/>
        <v>0</v>
      </c>
    </row>
    <row r="12" spans="1:4" ht="27" customHeight="1">
      <c r="A12" s="33" t="s">
        <v>55</v>
      </c>
      <c r="B12" s="34">
        <v>968.1</v>
      </c>
      <c r="C12" s="34">
        <v>1018.36</v>
      </c>
      <c r="D12" s="34">
        <f t="shared" si="0"/>
        <v>-50.259999999999991</v>
      </c>
    </row>
    <row r="13" spans="1:4" ht="27" customHeight="1">
      <c r="A13" s="33" t="s">
        <v>56</v>
      </c>
      <c r="B13" s="34">
        <v>83199.399999999994</v>
      </c>
      <c r="C13" s="34">
        <v>79532.899999999994</v>
      </c>
      <c r="D13" s="34">
        <f t="shared" si="0"/>
        <v>3666.5</v>
      </c>
    </row>
    <row r="14" spans="1:4" ht="27" customHeight="1">
      <c r="A14" s="25" t="s">
        <v>27</v>
      </c>
      <c r="B14" s="34">
        <v>61488</v>
      </c>
      <c r="C14" s="34">
        <v>61488</v>
      </c>
      <c r="D14" s="34">
        <f t="shared" si="0"/>
        <v>0</v>
      </c>
    </row>
    <row r="15" spans="1:4" ht="27" customHeight="1">
      <c r="A15" s="33" t="s">
        <v>60</v>
      </c>
      <c r="B15" s="34">
        <v>215149.8</v>
      </c>
      <c r="C15" s="34">
        <v>215149.8</v>
      </c>
      <c r="D15" s="34">
        <f t="shared" si="0"/>
        <v>0</v>
      </c>
    </row>
    <row r="16" spans="1:4" ht="27" customHeight="1">
      <c r="A16" s="33" t="s">
        <v>62</v>
      </c>
      <c r="B16" s="34">
        <v>824.8</v>
      </c>
      <c r="C16" s="34">
        <v>824.8</v>
      </c>
      <c r="D16" s="34">
        <f t="shared" si="0"/>
        <v>0</v>
      </c>
    </row>
    <row r="17" spans="1:4" ht="27" customHeight="1">
      <c r="A17" s="33" t="s">
        <v>61</v>
      </c>
      <c r="B17" s="34">
        <v>37589</v>
      </c>
      <c r="C17" s="34">
        <v>30846.1</v>
      </c>
      <c r="D17" s="34">
        <f t="shared" si="0"/>
        <v>6742.9000000000015</v>
      </c>
    </row>
    <row r="18" spans="1:4" ht="27" customHeight="1">
      <c r="A18" s="33" t="s">
        <v>57</v>
      </c>
      <c r="B18" s="34">
        <v>10920</v>
      </c>
      <c r="C18" s="34">
        <f>11953.2-1041.2</f>
        <v>10912</v>
      </c>
      <c r="D18" s="34">
        <f t="shared" si="0"/>
        <v>8</v>
      </c>
    </row>
    <row r="19" spans="1:4" ht="27" customHeight="1">
      <c r="A19" s="33" t="s">
        <v>58</v>
      </c>
      <c r="B19" s="34">
        <v>39529.300000000003</v>
      </c>
      <c r="C19" s="34">
        <v>39529.300000000003</v>
      </c>
      <c r="D19" s="34">
        <f t="shared" si="0"/>
        <v>0</v>
      </c>
    </row>
    <row r="20" spans="1:4" ht="27" customHeight="1">
      <c r="A20" s="33"/>
      <c r="B20" s="34">
        <f>SUM(B4:B19)-B14-B16</f>
        <v>427172.7</v>
      </c>
      <c r="C20" s="34">
        <f>SUM(C4:C19)-C14-C16</f>
        <v>420645.45599999995</v>
      </c>
      <c r="D20" s="34">
        <f t="shared" si="0"/>
        <v>6527.2440000000643</v>
      </c>
    </row>
  </sheetData>
  <pageMargins left="1.1399999999999999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41"/>
  <sheetViews>
    <sheetView workbookViewId="0">
      <pane xSplit="1" ySplit="4" topLeftCell="B17" activePane="bottomRight" state="frozen"/>
      <selection pane="topRight" activeCell="B1" sqref="B1"/>
      <selection pane="bottomLeft" activeCell="A6" sqref="A6"/>
      <selection pane="bottomRight" activeCell="B29" sqref="B29"/>
    </sheetView>
  </sheetViews>
  <sheetFormatPr defaultRowHeight="15"/>
  <cols>
    <col min="1" max="1" width="17.42578125" customWidth="1"/>
    <col min="2" max="2" width="14.140625" customWidth="1"/>
    <col min="3" max="3" width="13.85546875" customWidth="1"/>
    <col min="4" max="4" width="13.42578125" customWidth="1"/>
    <col min="5" max="5" width="13.28515625" customWidth="1"/>
    <col min="6" max="6" width="13.42578125" customWidth="1"/>
    <col min="7" max="7" width="13.5703125" customWidth="1"/>
    <col min="8" max="8" width="13.85546875" customWidth="1"/>
    <col min="9" max="9" width="12.7109375" customWidth="1"/>
    <col min="10" max="10" width="14.42578125" customWidth="1"/>
    <col min="11" max="11" width="12.5703125" customWidth="1"/>
    <col min="12" max="12" width="11.140625" customWidth="1"/>
    <col min="13" max="13" width="13.7109375" customWidth="1"/>
  </cols>
  <sheetData>
    <row r="2" spans="1:13" ht="29.25" customHeight="1">
      <c r="A2" s="1"/>
      <c r="B2" s="36">
        <v>2017</v>
      </c>
      <c r="C2" s="36"/>
      <c r="D2" s="36"/>
      <c r="E2" s="36">
        <v>2018</v>
      </c>
      <c r="F2" s="36"/>
      <c r="G2" s="36"/>
      <c r="H2" s="36">
        <v>2019</v>
      </c>
      <c r="I2" s="36"/>
      <c r="J2" s="36"/>
      <c r="K2" s="37" t="s">
        <v>41</v>
      </c>
      <c r="L2" s="38"/>
      <c r="M2" s="38"/>
    </row>
    <row r="3" spans="1:13">
      <c r="A3" s="1"/>
      <c r="B3" s="1">
        <v>211</v>
      </c>
      <c r="C3" s="1">
        <v>213</v>
      </c>
      <c r="D3" s="1" t="s">
        <v>0</v>
      </c>
      <c r="E3" s="1">
        <v>211</v>
      </c>
      <c r="F3" s="1">
        <v>213</v>
      </c>
      <c r="G3" s="1" t="s">
        <v>0</v>
      </c>
      <c r="H3" s="1">
        <v>211</v>
      </c>
      <c r="I3" s="1">
        <v>213</v>
      </c>
      <c r="J3" s="1" t="s">
        <v>0</v>
      </c>
      <c r="K3" s="1">
        <v>211</v>
      </c>
      <c r="L3" s="1">
        <v>213</v>
      </c>
      <c r="M3" s="1" t="s">
        <v>0</v>
      </c>
    </row>
    <row r="4" spans="1:13" ht="22.5" customHeight="1">
      <c r="A4" s="23" t="s">
        <v>31</v>
      </c>
      <c r="B4" s="17">
        <v>13050600</v>
      </c>
      <c r="C4" s="17">
        <v>3941248</v>
      </c>
      <c r="D4" s="17">
        <f>B4+C4</f>
        <v>16991848</v>
      </c>
      <c r="E4" s="17">
        <v>13050600</v>
      </c>
      <c r="F4" s="17">
        <v>3941248</v>
      </c>
      <c r="G4" s="17">
        <f>E4+F4</f>
        <v>16991848</v>
      </c>
      <c r="H4" s="17">
        <v>13050600</v>
      </c>
      <c r="I4" s="17">
        <v>3941248</v>
      </c>
      <c r="J4" s="17">
        <f>H4+I4</f>
        <v>16991848</v>
      </c>
      <c r="K4" s="6">
        <f>B4/12</f>
        <v>1087550</v>
      </c>
      <c r="L4" s="6">
        <f t="shared" ref="L4:M19" si="0">C4/12</f>
        <v>328437.33333333331</v>
      </c>
      <c r="M4" s="6">
        <f t="shared" si="0"/>
        <v>1415987.3333333333</v>
      </c>
    </row>
    <row r="5" spans="1:13" ht="22.5" customHeight="1">
      <c r="A5" s="23" t="s">
        <v>32</v>
      </c>
      <c r="B5" s="18">
        <v>6748970</v>
      </c>
      <c r="C5" s="18">
        <v>2038190</v>
      </c>
      <c r="D5" s="17">
        <f t="shared" ref="D5:D19" si="1">B5+C5</f>
        <v>8787160</v>
      </c>
      <c r="E5" s="18">
        <v>6748970</v>
      </c>
      <c r="F5" s="18">
        <v>2038190</v>
      </c>
      <c r="G5" s="17">
        <f t="shared" ref="G5:G6" si="2">E5+F5</f>
        <v>8787160</v>
      </c>
      <c r="H5" s="18">
        <v>6748970</v>
      </c>
      <c r="I5" s="18">
        <v>2038190</v>
      </c>
      <c r="J5" s="17">
        <f t="shared" ref="J5:J6" si="3">H5+I5</f>
        <v>8787160</v>
      </c>
      <c r="K5" s="6">
        <f t="shared" ref="K5:M68" si="4">B5/12</f>
        <v>562414.16666666663</v>
      </c>
      <c r="L5" s="6">
        <f t="shared" si="0"/>
        <v>169849.16666666666</v>
      </c>
      <c r="M5" s="6">
        <f t="shared" si="0"/>
        <v>732263.33333333337</v>
      </c>
    </row>
    <row r="6" spans="1:13" ht="22.5" customHeight="1">
      <c r="A6" s="23" t="s">
        <v>1</v>
      </c>
      <c r="B6" s="17">
        <v>10560900</v>
      </c>
      <c r="C6" s="17">
        <v>3189392</v>
      </c>
      <c r="D6" s="17">
        <f t="shared" si="1"/>
        <v>13750292</v>
      </c>
      <c r="E6" s="17">
        <v>10560900</v>
      </c>
      <c r="F6" s="17">
        <v>3189392</v>
      </c>
      <c r="G6" s="17">
        <f t="shared" si="2"/>
        <v>13750292</v>
      </c>
      <c r="H6" s="17">
        <v>10560900</v>
      </c>
      <c r="I6" s="17">
        <v>3189392</v>
      </c>
      <c r="J6" s="17">
        <f t="shared" si="3"/>
        <v>13750292</v>
      </c>
      <c r="K6" s="6">
        <f t="shared" si="4"/>
        <v>880075</v>
      </c>
      <c r="L6" s="6">
        <f t="shared" si="0"/>
        <v>265782.66666666669</v>
      </c>
      <c r="M6" s="6">
        <f t="shared" si="0"/>
        <v>1145857.6666666667</v>
      </c>
    </row>
    <row r="7" spans="1:13" ht="22.5" customHeight="1">
      <c r="A7" s="24" t="s">
        <v>35</v>
      </c>
      <c r="B7" s="19">
        <f>SUM(B4:B6)</f>
        <v>30360470</v>
      </c>
      <c r="C7" s="19">
        <f>SUM(C4:C6)</f>
        <v>9168830</v>
      </c>
      <c r="D7" s="19">
        <f>B7+C7</f>
        <v>39529300</v>
      </c>
      <c r="E7" s="19">
        <f>SUM(E4:E6)</f>
        <v>30360470</v>
      </c>
      <c r="F7" s="19">
        <f>SUM(F4:F6)</f>
        <v>9168830</v>
      </c>
      <c r="G7" s="19">
        <f>E7+F7</f>
        <v>39529300</v>
      </c>
      <c r="H7" s="19">
        <f>SUM(H4:H6)</f>
        <v>30360470</v>
      </c>
      <c r="I7" s="19">
        <f>SUM(I4:I6)</f>
        <v>9168830</v>
      </c>
      <c r="J7" s="19">
        <f>H7+I7</f>
        <v>39529300</v>
      </c>
      <c r="K7" s="6">
        <f t="shared" si="4"/>
        <v>2530039.1666666665</v>
      </c>
      <c r="L7" s="6">
        <f t="shared" si="0"/>
        <v>764069.16666666663</v>
      </c>
      <c r="M7" s="6">
        <f t="shared" si="0"/>
        <v>3294108.3333333335</v>
      </c>
    </row>
    <row r="8" spans="1:13" ht="22.5" customHeight="1">
      <c r="A8" s="23" t="s">
        <v>3</v>
      </c>
      <c r="B8" s="17">
        <f>2560619-263270</f>
        <v>2297349</v>
      </c>
      <c r="C8" s="17">
        <v>693800</v>
      </c>
      <c r="D8" s="17">
        <f t="shared" si="1"/>
        <v>2991149</v>
      </c>
      <c r="E8" s="17">
        <f>2560619-263270</f>
        <v>2297349</v>
      </c>
      <c r="F8" s="17">
        <v>693800</v>
      </c>
      <c r="G8" s="17">
        <f t="shared" ref="G8:G10" si="5">E8+F8</f>
        <v>2991149</v>
      </c>
      <c r="H8" s="17">
        <f>2560619-263270</f>
        <v>2297349</v>
      </c>
      <c r="I8" s="17">
        <v>693800</v>
      </c>
      <c r="J8" s="17">
        <f t="shared" ref="J8:J9" si="6">H8+I8</f>
        <v>2991149</v>
      </c>
      <c r="K8" s="6">
        <f t="shared" si="4"/>
        <v>191445.75</v>
      </c>
      <c r="L8" s="6">
        <f t="shared" si="0"/>
        <v>57816.666666666664</v>
      </c>
      <c r="M8" s="6">
        <f t="shared" si="0"/>
        <v>249262.41666666666</v>
      </c>
    </row>
    <row r="9" spans="1:13" ht="22.5" customHeight="1">
      <c r="A9" s="25" t="s">
        <v>2</v>
      </c>
      <c r="B9" s="18">
        <v>1948000</v>
      </c>
      <c r="C9" s="18">
        <v>588300</v>
      </c>
      <c r="D9" s="18">
        <f t="shared" si="1"/>
        <v>2536300</v>
      </c>
      <c r="E9" s="18">
        <v>1948000</v>
      </c>
      <c r="F9" s="18">
        <v>588300</v>
      </c>
      <c r="G9" s="18">
        <f t="shared" si="5"/>
        <v>2536300</v>
      </c>
      <c r="H9" s="18">
        <v>1948000</v>
      </c>
      <c r="I9" s="18">
        <v>588300</v>
      </c>
      <c r="J9" s="18">
        <f t="shared" si="6"/>
        <v>2536300</v>
      </c>
      <c r="K9" s="6">
        <f t="shared" si="4"/>
        <v>162333.33333333334</v>
      </c>
      <c r="L9" s="6">
        <f t="shared" si="0"/>
        <v>49025</v>
      </c>
      <c r="M9" s="6">
        <f t="shared" si="0"/>
        <v>211358.33333333334</v>
      </c>
    </row>
    <row r="10" spans="1:13" ht="22.5" customHeight="1">
      <c r="A10" s="25" t="s">
        <v>4</v>
      </c>
      <c r="B10" s="18">
        <v>1795930</v>
      </c>
      <c r="C10" s="18">
        <v>542370</v>
      </c>
      <c r="D10" s="18">
        <f t="shared" si="1"/>
        <v>2338300</v>
      </c>
      <c r="E10" s="18">
        <v>1795930</v>
      </c>
      <c r="F10" s="18">
        <v>542370</v>
      </c>
      <c r="G10" s="18">
        <f t="shared" si="5"/>
        <v>2338300</v>
      </c>
      <c r="H10" s="18">
        <v>1795930</v>
      </c>
      <c r="I10" s="18">
        <v>542370</v>
      </c>
      <c r="J10" s="18">
        <f>H10+I10</f>
        <v>2338300</v>
      </c>
      <c r="K10" s="6">
        <f t="shared" si="4"/>
        <v>149660.83333333334</v>
      </c>
      <c r="L10" s="6">
        <f t="shared" si="0"/>
        <v>45197.5</v>
      </c>
      <c r="M10" s="6">
        <f t="shared" si="0"/>
        <v>194858.33333333334</v>
      </c>
    </row>
    <row r="11" spans="1:13" ht="22.5" customHeight="1">
      <c r="A11" s="25" t="s">
        <v>5</v>
      </c>
      <c r="B11" s="18">
        <v>7109800</v>
      </c>
      <c r="C11" s="18">
        <v>2147100</v>
      </c>
      <c r="D11" s="18">
        <f>B11+C11</f>
        <v>9256900</v>
      </c>
      <c r="E11" s="18">
        <v>7109800</v>
      </c>
      <c r="F11" s="18">
        <v>2147100</v>
      </c>
      <c r="G11" s="18">
        <f>E11+F11</f>
        <v>9256900</v>
      </c>
      <c r="H11" s="18">
        <v>7109800</v>
      </c>
      <c r="I11" s="18">
        <v>2147100</v>
      </c>
      <c r="J11" s="18">
        <f>H11+I11</f>
        <v>9256900</v>
      </c>
      <c r="K11" s="6">
        <f t="shared" si="4"/>
        <v>592483.33333333337</v>
      </c>
      <c r="L11" s="6">
        <f t="shared" si="0"/>
        <v>178925</v>
      </c>
      <c r="M11" s="6">
        <f t="shared" si="0"/>
        <v>771408.33333333337</v>
      </c>
    </row>
    <row r="12" spans="1:13" ht="22.5" customHeight="1">
      <c r="A12" s="25" t="s">
        <v>6</v>
      </c>
      <c r="B12" s="18">
        <v>878415</v>
      </c>
      <c r="C12" s="18">
        <v>265280</v>
      </c>
      <c r="D12" s="18">
        <f t="shared" si="1"/>
        <v>1143695</v>
      </c>
      <c r="E12" s="18">
        <v>878415</v>
      </c>
      <c r="F12" s="18">
        <v>265280</v>
      </c>
      <c r="G12" s="18">
        <f t="shared" ref="G12:G19" si="7">E12+F12</f>
        <v>1143695</v>
      </c>
      <c r="H12" s="18">
        <v>878415</v>
      </c>
      <c r="I12" s="18">
        <v>265280</v>
      </c>
      <c r="J12" s="18">
        <f t="shared" ref="J12:J19" si="8">H12+I12</f>
        <v>1143695</v>
      </c>
      <c r="K12" s="6">
        <f t="shared" si="4"/>
        <v>73201.25</v>
      </c>
      <c r="L12" s="6">
        <f t="shared" si="0"/>
        <v>22106.666666666668</v>
      </c>
      <c r="M12" s="6">
        <f t="shared" si="0"/>
        <v>95307.916666666672</v>
      </c>
    </row>
    <row r="13" spans="1:13" ht="22.5" customHeight="1">
      <c r="A13" s="25" t="s">
        <v>7</v>
      </c>
      <c r="B13" s="18">
        <f>1487704</f>
        <v>1487704</v>
      </c>
      <c r="C13" s="18">
        <v>449290</v>
      </c>
      <c r="D13" s="18">
        <f t="shared" si="1"/>
        <v>1936994</v>
      </c>
      <c r="E13" s="18">
        <f>1487704</f>
        <v>1487704</v>
      </c>
      <c r="F13" s="18">
        <v>449290</v>
      </c>
      <c r="G13" s="18">
        <f t="shared" si="7"/>
        <v>1936994</v>
      </c>
      <c r="H13" s="18">
        <f>1487704</f>
        <v>1487704</v>
      </c>
      <c r="I13" s="18">
        <v>449290</v>
      </c>
      <c r="J13" s="18">
        <f t="shared" si="8"/>
        <v>1936994</v>
      </c>
      <c r="K13" s="6">
        <f t="shared" si="4"/>
        <v>123975.33333333333</v>
      </c>
      <c r="L13" s="6">
        <f t="shared" si="0"/>
        <v>37440.833333333336</v>
      </c>
      <c r="M13" s="6">
        <f t="shared" si="0"/>
        <v>161416.16666666666</v>
      </c>
    </row>
    <row r="14" spans="1:13" ht="22.5" customHeight="1">
      <c r="A14" s="25" t="s">
        <v>8</v>
      </c>
      <c r="B14" s="18">
        <v>750506</v>
      </c>
      <c r="C14" s="18">
        <v>226660</v>
      </c>
      <c r="D14" s="18">
        <f t="shared" si="1"/>
        <v>977166</v>
      </c>
      <c r="E14" s="18">
        <v>750506</v>
      </c>
      <c r="F14" s="18">
        <v>226660</v>
      </c>
      <c r="G14" s="18">
        <f t="shared" si="7"/>
        <v>977166</v>
      </c>
      <c r="H14" s="18">
        <v>750506</v>
      </c>
      <c r="I14" s="18">
        <v>226660</v>
      </c>
      <c r="J14" s="18">
        <f t="shared" si="8"/>
        <v>977166</v>
      </c>
      <c r="K14" s="6">
        <f t="shared" si="4"/>
        <v>62542.166666666664</v>
      </c>
      <c r="L14" s="6">
        <f t="shared" si="0"/>
        <v>18888.333333333332</v>
      </c>
      <c r="M14" s="6">
        <f t="shared" si="0"/>
        <v>81430.5</v>
      </c>
    </row>
    <row r="15" spans="1:13" ht="22.5" customHeight="1">
      <c r="A15" s="25" t="s">
        <v>38</v>
      </c>
      <c r="B15" s="18">
        <v>260600</v>
      </c>
      <c r="C15" s="18">
        <v>78700</v>
      </c>
      <c r="D15" s="18">
        <f t="shared" si="1"/>
        <v>339300</v>
      </c>
      <c r="E15" s="18">
        <v>260600</v>
      </c>
      <c r="F15" s="18">
        <v>78700</v>
      </c>
      <c r="G15" s="18">
        <f t="shared" si="7"/>
        <v>339300</v>
      </c>
      <c r="H15" s="18">
        <v>260600</v>
      </c>
      <c r="I15" s="18">
        <v>78700</v>
      </c>
      <c r="J15" s="18">
        <f t="shared" si="8"/>
        <v>339300</v>
      </c>
      <c r="K15" s="6">
        <f t="shared" si="4"/>
        <v>21716.666666666668</v>
      </c>
      <c r="L15" s="6">
        <f t="shared" si="0"/>
        <v>6558.333333333333</v>
      </c>
      <c r="M15" s="6">
        <f t="shared" si="0"/>
        <v>28275</v>
      </c>
    </row>
    <row r="16" spans="1:13" ht="22.5" customHeight="1">
      <c r="A16" s="25" t="s">
        <v>9</v>
      </c>
      <c r="B16" s="18">
        <v>722660</v>
      </c>
      <c r="C16" s="18">
        <v>218240</v>
      </c>
      <c r="D16" s="18">
        <f t="shared" si="1"/>
        <v>940900</v>
      </c>
      <c r="E16" s="18">
        <v>722660</v>
      </c>
      <c r="F16" s="18">
        <v>218240</v>
      </c>
      <c r="G16" s="18">
        <f t="shared" si="7"/>
        <v>940900</v>
      </c>
      <c r="H16" s="18">
        <v>722660</v>
      </c>
      <c r="I16" s="18">
        <v>218240</v>
      </c>
      <c r="J16" s="18">
        <f t="shared" si="8"/>
        <v>940900</v>
      </c>
      <c r="K16" s="6">
        <f t="shared" si="4"/>
        <v>60221.666666666664</v>
      </c>
      <c r="L16" s="6">
        <f t="shared" si="0"/>
        <v>18186.666666666668</v>
      </c>
      <c r="M16" s="6">
        <f t="shared" si="0"/>
        <v>78408.333333333328</v>
      </c>
    </row>
    <row r="17" spans="1:13" ht="22.5" customHeight="1">
      <c r="A17" s="25" t="s">
        <v>37</v>
      </c>
      <c r="B17" s="18">
        <v>250000</v>
      </c>
      <c r="C17" s="18">
        <v>75500</v>
      </c>
      <c r="D17" s="18">
        <f t="shared" si="1"/>
        <v>325500</v>
      </c>
      <c r="E17" s="18">
        <v>250000</v>
      </c>
      <c r="F17" s="18">
        <v>75500</v>
      </c>
      <c r="G17" s="18">
        <f t="shared" si="7"/>
        <v>325500</v>
      </c>
      <c r="H17" s="18">
        <v>250000</v>
      </c>
      <c r="I17" s="18">
        <v>75500</v>
      </c>
      <c r="J17" s="18">
        <f t="shared" si="8"/>
        <v>325500</v>
      </c>
      <c r="K17" s="6">
        <f t="shared" si="4"/>
        <v>20833.333333333332</v>
      </c>
      <c r="L17" s="6">
        <f t="shared" si="0"/>
        <v>6291.666666666667</v>
      </c>
      <c r="M17" s="6">
        <f t="shared" si="0"/>
        <v>27125</v>
      </c>
    </row>
    <row r="18" spans="1:13" ht="22.5" customHeight="1">
      <c r="A18" s="25" t="s">
        <v>10</v>
      </c>
      <c r="B18" s="18">
        <v>380880</v>
      </c>
      <c r="C18" s="18">
        <v>115020</v>
      </c>
      <c r="D18" s="18">
        <f t="shared" si="1"/>
        <v>495900</v>
      </c>
      <c r="E18" s="18">
        <v>380880</v>
      </c>
      <c r="F18" s="18">
        <v>115020</v>
      </c>
      <c r="G18" s="18">
        <f t="shared" si="7"/>
        <v>495900</v>
      </c>
      <c r="H18" s="18">
        <v>380880</v>
      </c>
      <c r="I18" s="18">
        <v>115020</v>
      </c>
      <c r="J18" s="18">
        <f t="shared" si="8"/>
        <v>495900</v>
      </c>
      <c r="K18" s="6">
        <f t="shared" si="4"/>
        <v>31740</v>
      </c>
      <c r="L18" s="6">
        <f t="shared" si="0"/>
        <v>9585</v>
      </c>
      <c r="M18" s="6">
        <f t="shared" si="0"/>
        <v>41325</v>
      </c>
    </row>
    <row r="19" spans="1:13" ht="22.5" customHeight="1">
      <c r="A19" s="25" t="s">
        <v>11</v>
      </c>
      <c r="B19" s="18">
        <v>743550</v>
      </c>
      <c r="C19" s="18">
        <v>224550</v>
      </c>
      <c r="D19" s="18">
        <f t="shared" si="1"/>
        <v>968100</v>
      </c>
      <c r="E19" s="18">
        <v>743550</v>
      </c>
      <c r="F19" s="18">
        <v>224550</v>
      </c>
      <c r="G19" s="18">
        <f t="shared" si="7"/>
        <v>968100</v>
      </c>
      <c r="H19" s="18">
        <v>743550</v>
      </c>
      <c r="I19" s="18">
        <v>224550</v>
      </c>
      <c r="J19" s="18">
        <f t="shared" si="8"/>
        <v>968100</v>
      </c>
      <c r="K19" s="6">
        <f t="shared" si="4"/>
        <v>61962.5</v>
      </c>
      <c r="L19" s="6">
        <f t="shared" si="0"/>
        <v>18712.5</v>
      </c>
      <c r="M19" s="6">
        <f t="shared" si="0"/>
        <v>80675</v>
      </c>
    </row>
    <row r="20" spans="1:13" ht="22.5" customHeight="1">
      <c r="A20" s="24" t="s">
        <v>13</v>
      </c>
      <c r="B20" s="19">
        <f>B8+B9+B10+B11+B12+B13+B14+B16+B18+B19+B15+B17</f>
        <v>18625394</v>
      </c>
      <c r="C20" s="19">
        <f t="shared" ref="C20" si="9">C8+C9+C10+C11+C12+C13+C14+C16+C18+C19+C15+C17</f>
        <v>5624810</v>
      </c>
      <c r="D20" s="19">
        <f>D8+D9+D10+D11+D12+D13+D14+D16+D18+D19+D15+D17</f>
        <v>24250204</v>
      </c>
      <c r="E20" s="19">
        <f>E8+E9+E10+E11+E12+E13+E14+E16+E18+E19+E15+E17</f>
        <v>18625394</v>
      </c>
      <c r="F20" s="19">
        <f t="shared" ref="F20" si="10">F8+F9+F10+F11+F12+F13+F14+F16+F18+F19+F15+F17</f>
        <v>5624810</v>
      </c>
      <c r="G20" s="19">
        <f>G8+G9+G10+G11+G12+G13+G14+G16+G18+G19+G15+G17</f>
        <v>24250204</v>
      </c>
      <c r="H20" s="19">
        <f>H8+H9+H10+H11+H12+H13+H14+H16+H18+H19+H15+H17</f>
        <v>18625394</v>
      </c>
      <c r="I20" s="19">
        <f t="shared" ref="I20" si="11">I8+I9+I10+I11+I12+I13+I14+I16+I18+I19+I15+I17</f>
        <v>5624810</v>
      </c>
      <c r="J20" s="19">
        <f>J8+J9+J10+J11+J12+J13+J14+J16+J18+J19+J15+J17</f>
        <v>24250204</v>
      </c>
      <c r="K20" s="6">
        <f t="shared" si="4"/>
        <v>1552116.1666666667</v>
      </c>
      <c r="L20" s="6">
        <f t="shared" si="4"/>
        <v>468734.16666666669</v>
      </c>
      <c r="M20" s="6">
        <f t="shared" si="4"/>
        <v>2020850.3333333333</v>
      </c>
    </row>
    <row r="21" spans="1:13" ht="22.5" customHeight="1">
      <c r="A21" s="25" t="s">
        <v>14</v>
      </c>
      <c r="B21" s="18">
        <f>454260</f>
        <v>454260</v>
      </c>
      <c r="C21" s="18">
        <v>137187</v>
      </c>
      <c r="D21" s="18">
        <f>B21+C21</f>
        <v>591447</v>
      </c>
      <c r="E21" s="18">
        <f>454260</f>
        <v>454260</v>
      </c>
      <c r="F21" s="18">
        <v>137187</v>
      </c>
      <c r="G21" s="18">
        <f>E21+F21</f>
        <v>591447</v>
      </c>
      <c r="H21" s="18">
        <f>454260</f>
        <v>454260</v>
      </c>
      <c r="I21" s="18">
        <v>137187</v>
      </c>
      <c r="J21" s="18">
        <f>H21+I21</f>
        <v>591447</v>
      </c>
      <c r="K21" s="6">
        <f t="shared" si="4"/>
        <v>37855</v>
      </c>
      <c r="L21" s="6">
        <f t="shared" si="4"/>
        <v>11432.25</v>
      </c>
      <c r="M21" s="6">
        <f t="shared" si="4"/>
        <v>49287.25</v>
      </c>
    </row>
    <row r="22" spans="1:13" ht="22.5" customHeight="1">
      <c r="A22" s="25" t="s">
        <v>15</v>
      </c>
      <c r="B22" s="18">
        <v>454260</v>
      </c>
      <c r="C22" s="18">
        <v>137187</v>
      </c>
      <c r="D22" s="18">
        <f t="shared" ref="D22:D29" si="12">B22+C22</f>
        <v>591447</v>
      </c>
      <c r="E22" s="18">
        <v>454260</v>
      </c>
      <c r="F22" s="18">
        <v>137187</v>
      </c>
      <c r="G22" s="18">
        <f t="shared" ref="G22:G29" si="13">E22+F22</f>
        <v>591447</v>
      </c>
      <c r="H22" s="18">
        <v>454260</v>
      </c>
      <c r="I22" s="18">
        <v>137187</v>
      </c>
      <c r="J22" s="18">
        <f t="shared" ref="J22:J29" si="14">H22+I22</f>
        <v>591447</v>
      </c>
      <c r="K22" s="6">
        <f t="shared" si="4"/>
        <v>37855</v>
      </c>
      <c r="L22" s="6">
        <f t="shared" si="4"/>
        <v>11432.25</v>
      </c>
      <c r="M22" s="6">
        <f t="shared" si="4"/>
        <v>49287.25</v>
      </c>
    </row>
    <row r="23" spans="1:13" ht="22.5" customHeight="1">
      <c r="A23" s="25" t="s">
        <v>16</v>
      </c>
      <c r="B23" s="18"/>
      <c r="C23" s="18">
        <v>0</v>
      </c>
      <c r="D23" s="18">
        <f t="shared" si="12"/>
        <v>0</v>
      </c>
      <c r="E23" s="18"/>
      <c r="F23" s="18">
        <v>0</v>
      </c>
      <c r="G23" s="18">
        <f t="shared" si="13"/>
        <v>0</v>
      </c>
      <c r="H23" s="18"/>
      <c r="I23" s="18">
        <v>0</v>
      </c>
      <c r="J23" s="18">
        <f t="shared" si="1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</row>
    <row r="24" spans="1:13" ht="22.5" customHeight="1">
      <c r="A24" s="25" t="s">
        <v>17</v>
      </c>
      <c r="B24" s="18">
        <f>454300</f>
        <v>454300</v>
      </c>
      <c r="C24" s="18">
        <v>137198</v>
      </c>
      <c r="D24" s="18">
        <f t="shared" si="12"/>
        <v>591498</v>
      </c>
      <c r="E24" s="18">
        <f>454300</f>
        <v>454300</v>
      </c>
      <c r="F24" s="18">
        <v>137198</v>
      </c>
      <c r="G24" s="18">
        <f t="shared" si="13"/>
        <v>591498</v>
      </c>
      <c r="H24" s="18">
        <f>454300</f>
        <v>454300</v>
      </c>
      <c r="I24" s="18">
        <v>137198</v>
      </c>
      <c r="J24" s="18">
        <f t="shared" si="14"/>
        <v>591498</v>
      </c>
      <c r="K24" s="6">
        <f t="shared" si="4"/>
        <v>37858.333333333336</v>
      </c>
      <c r="L24" s="6">
        <f t="shared" si="4"/>
        <v>11433.166666666666</v>
      </c>
      <c r="M24" s="6">
        <f t="shared" si="4"/>
        <v>49291.5</v>
      </c>
    </row>
    <row r="25" spans="1:13" ht="22.5" customHeight="1">
      <c r="A25" s="25" t="s">
        <v>18</v>
      </c>
      <c r="B25" s="18"/>
      <c r="C25" s="18">
        <v>0</v>
      </c>
      <c r="D25" s="18">
        <f t="shared" si="12"/>
        <v>0</v>
      </c>
      <c r="E25" s="18"/>
      <c r="F25" s="18">
        <v>0</v>
      </c>
      <c r="G25" s="18">
        <f t="shared" si="13"/>
        <v>0</v>
      </c>
      <c r="H25" s="18"/>
      <c r="I25" s="18">
        <v>0</v>
      </c>
      <c r="J25" s="18">
        <f t="shared" si="1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</row>
    <row r="26" spans="1:13" ht="22.5" customHeight="1">
      <c r="A26" s="25" t="s">
        <v>19</v>
      </c>
      <c r="B26" s="18"/>
      <c r="C26" s="18">
        <v>0</v>
      </c>
      <c r="D26" s="18">
        <f t="shared" si="12"/>
        <v>0</v>
      </c>
      <c r="E26" s="18"/>
      <c r="F26" s="18">
        <v>0</v>
      </c>
      <c r="G26" s="18">
        <f t="shared" si="13"/>
        <v>0</v>
      </c>
      <c r="H26" s="18"/>
      <c r="I26" s="18">
        <v>0</v>
      </c>
      <c r="J26" s="18">
        <f t="shared" si="1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</row>
    <row r="27" spans="1:13" ht="22.5" customHeight="1">
      <c r="A27" s="25" t="s">
        <v>20</v>
      </c>
      <c r="B27" s="18"/>
      <c r="C27" s="18">
        <v>0</v>
      </c>
      <c r="D27" s="18">
        <f t="shared" si="12"/>
        <v>0</v>
      </c>
      <c r="E27" s="18"/>
      <c r="F27" s="18">
        <v>0</v>
      </c>
      <c r="G27" s="18">
        <f t="shared" si="13"/>
        <v>0</v>
      </c>
      <c r="H27" s="18"/>
      <c r="I27" s="18">
        <v>0</v>
      </c>
      <c r="J27" s="18">
        <f t="shared" si="14"/>
        <v>0</v>
      </c>
      <c r="K27" s="6">
        <f t="shared" si="4"/>
        <v>0</v>
      </c>
      <c r="L27" s="6">
        <f t="shared" si="4"/>
        <v>0</v>
      </c>
      <c r="M27" s="6">
        <f t="shared" si="4"/>
        <v>0</v>
      </c>
    </row>
    <row r="28" spans="1:13" ht="22.5" customHeight="1">
      <c r="A28" s="25" t="s">
        <v>21</v>
      </c>
      <c r="B28" s="18"/>
      <c r="C28" s="18">
        <v>0</v>
      </c>
      <c r="D28" s="18">
        <f t="shared" si="12"/>
        <v>0</v>
      </c>
      <c r="E28" s="18"/>
      <c r="F28" s="18">
        <v>0</v>
      </c>
      <c r="G28" s="18">
        <f t="shared" si="13"/>
        <v>0</v>
      </c>
      <c r="H28" s="18"/>
      <c r="I28" s="18">
        <v>0</v>
      </c>
      <c r="J28" s="18">
        <f t="shared" si="14"/>
        <v>0</v>
      </c>
      <c r="K28" s="6">
        <f t="shared" si="4"/>
        <v>0</v>
      </c>
      <c r="L28" s="6">
        <f t="shared" si="4"/>
        <v>0</v>
      </c>
      <c r="M28" s="6">
        <f t="shared" si="4"/>
        <v>0</v>
      </c>
    </row>
    <row r="29" spans="1:13" ht="22.5" customHeight="1">
      <c r="A29" s="25" t="s">
        <v>22</v>
      </c>
      <c r="B29" s="18">
        <f>469893</f>
        <v>469893</v>
      </c>
      <c r="C29" s="18">
        <v>141907</v>
      </c>
      <c r="D29" s="18">
        <f t="shared" si="12"/>
        <v>611800</v>
      </c>
      <c r="E29" s="18">
        <f>469893</f>
        <v>469893</v>
      </c>
      <c r="F29" s="18">
        <v>141907</v>
      </c>
      <c r="G29" s="18">
        <f t="shared" si="13"/>
        <v>611800</v>
      </c>
      <c r="H29" s="18">
        <f>469893</f>
        <v>469893</v>
      </c>
      <c r="I29" s="18">
        <v>141907</v>
      </c>
      <c r="J29" s="18">
        <f t="shared" si="14"/>
        <v>611800</v>
      </c>
      <c r="K29" s="6">
        <f t="shared" si="4"/>
        <v>39157.75</v>
      </c>
      <c r="L29" s="6">
        <f t="shared" si="4"/>
        <v>11825.583333333334</v>
      </c>
      <c r="M29" s="6">
        <f t="shared" si="4"/>
        <v>50983.333333333336</v>
      </c>
    </row>
    <row r="30" spans="1:13" ht="22.5" customHeight="1">
      <c r="A30" s="24" t="s">
        <v>24</v>
      </c>
      <c r="B30" s="19">
        <f t="shared" ref="B30:D30" si="15">SUM(B21:B29)</f>
        <v>1832713</v>
      </c>
      <c r="C30" s="19">
        <f t="shared" si="15"/>
        <v>553479</v>
      </c>
      <c r="D30" s="19">
        <f t="shared" si="15"/>
        <v>2386192</v>
      </c>
      <c r="E30" s="19">
        <f t="shared" ref="E30:J30" si="16">SUM(E21:E29)</f>
        <v>1832713</v>
      </c>
      <c r="F30" s="19">
        <f t="shared" si="16"/>
        <v>553479</v>
      </c>
      <c r="G30" s="19">
        <f t="shared" si="16"/>
        <v>2386192</v>
      </c>
      <c r="H30" s="19">
        <f t="shared" si="16"/>
        <v>1832713</v>
      </c>
      <c r="I30" s="19">
        <f t="shared" si="16"/>
        <v>553479</v>
      </c>
      <c r="J30" s="19">
        <f t="shared" si="16"/>
        <v>2386192</v>
      </c>
      <c r="K30" s="6">
        <f t="shared" si="4"/>
        <v>152726.08333333334</v>
      </c>
      <c r="L30" s="6">
        <f t="shared" si="4"/>
        <v>46123.25</v>
      </c>
      <c r="M30" s="6">
        <f t="shared" si="4"/>
        <v>198849.33333333334</v>
      </c>
    </row>
    <row r="31" spans="1:13" ht="22.5" customHeight="1">
      <c r="A31" s="25" t="s">
        <v>14</v>
      </c>
      <c r="B31" s="18">
        <f>405005</f>
        <v>405005</v>
      </c>
      <c r="C31" s="18">
        <v>122312</v>
      </c>
      <c r="D31" s="18">
        <f>B31+C31</f>
        <v>527317</v>
      </c>
      <c r="E31" s="18">
        <f>405005</f>
        <v>405005</v>
      </c>
      <c r="F31" s="18">
        <v>122312</v>
      </c>
      <c r="G31" s="18">
        <f>E31+F31</f>
        <v>527317</v>
      </c>
      <c r="H31" s="18">
        <f>405005</f>
        <v>405005</v>
      </c>
      <c r="I31" s="18">
        <v>122312</v>
      </c>
      <c r="J31" s="18">
        <f>H31+I31</f>
        <v>527317</v>
      </c>
      <c r="K31" s="6">
        <f t="shared" si="4"/>
        <v>33750.416666666664</v>
      </c>
      <c r="L31" s="6">
        <f t="shared" si="4"/>
        <v>10192.666666666666</v>
      </c>
      <c r="M31" s="6">
        <f t="shared" si="4"/>
        <v>43943.083333333336</v>
      </c>
    </row>
    <row r="32" spans="1:13" ht="22.5" customHeight="1">
      <c r="A32" s="25" t="s">
        <v>15</v>
      </c>
      <c r="B32" s="18">
        <f>417500</f>
        <v>417500</v>
      </c>
      <c r="C32" s="18">
        <f t="shared" ref="C32:C39" si="17">B32*30.2%</f>
        <v>126085</v>
      </c>
      <c r="D32" s="18">
        <f t="shared" ref="D32:D39" si="18">B32+C32</f>
        <v>543585</v>
      </c>
      <c r="E32" s="18">
        <f>417500</f>
        <v>417500</v>
      </c>
      <c r="F32" s="18">
        <f t="shared" ref="F32" si="19">E32*30.2%</f>
        <v>126085</v>
      </c>
      <c r="G32" s="18">
        <f t="shared" ref="G32:G39" si="20">E32+F32</f>
        <v>543585</v>
      </c>
      <c r="H32" s="18">
        <f>417500</f>
        <v>417500</v>
      </c>
      <c r="I32" s="18">
        <f t="shared" ref="I32" si="21">H32*30.2%</f>
        <v>126085</v>
      </c>
      <c r="J32" s="18">
        <f t="shared" ref="J32:J39" si="22">H32+I32</f>
        <v>543585</v>
      </c>
      <c r="K32" s="6">
        <f t="shared" si="4"/>
        <v>34791.666666666664</v>
      </c>
      <c r="L32" s="6">
        <f t="shared" si="4"/>
        <v>10507.083333333334</v>
      </c>
      <c r="M32" s="6">
        <f t="shared" si="4"/>
        <v>45298.75</v>
      </c>
    </row>
    <row r="33" spans="1:13" ht="22.5" customHeight="1">
      <c r="A33" s="25" t="s">
        <v>16</v>
      </c>
      <c r="B33" s="18">
        <f>419200</f>
        <v>419200</v>
      </c>
      <c r="C33" s="18">
        <v>126598</v>
      </c>
      <c r="D33" s="18">
        <f t="shared" si="18"/>
        <v>545798</v>
      </c>
      <c r="E33" s="18">
        <f>419200</f>
        <v>419200</v>
      </c>
      <c r="F33" s="18">
        <v>126598</v>
      </c>
      <c r="G33" s="18">
        <f t="shared" si="20"/>
        <v>545798</v>
      </c>
      <c r="H33" s="18">
        <f>419200</f>
        <v>419200</v>
      </c>
      <c r="I33" s="18">
        <v>126598</v>
      </c>
      <c r="J33" s="18">
        <f t="shared" si="22"/>
        <v>545798</v>
      </c>
      <c r="K33" s="6">
        <f t="shared" si="4"/>
        <v>34933.333333333336</v>
      </c>
      <c r="L33" s="6">
        <f t="shared" si="4"/>
        <v>10549.833333333334</v>
      </c>
      <c r="M33" s="6">
        <f t="shared" si="4"/>
        <v>45483.166666666664</v>
      </c>
    </row>
    <row r="34" spans="1:13" ht="22.5" customHeight="1">
      <c r="A34" s="25" t="s">
        <v>17</v>
      </c>
      <c r="B34" s="18">
        <f>438160</f>
        <v>438160</v>
      </c>
      <c r="C34" s="18">
        <v>132320</v>
      </c>
      <c r="D34" s="18">
        <f t="shared" si="18"/>
        <v>570480</v>
      </c>
      <c r="E34" s="18">
        <f>438160</f>
        <v>438160</v>
      </c>
      <c r="F34" s="18">
        <v>132320</v>
      </c>
      <c r="G34" s="18">
        <f t="shared" si="20"/>
        <v>570480</v>
      </c>
      <c r="H34" s="18">
        <f>438160</f>
        <v>438160</v>
      </c>
      <c r="I34" s="18">
        <v>132320</v>
      </c>
      <c r="J34" s="18">
        <f t="shared" si="22"/>
        <v>570480</v>
      </c>
      <c r="K34" s="6">
        <f t="shared" si="4"/>
        <v>36513.333333333336</v>
      </c>
      <c r="L34" s="6">
        <f t="shared" si="4"/>
        <v>11026.666666666666</v>
      </c>
      <c r="M34" s="6">
        <f t="shared" si="4"/>
        <v>47540</v>
      </c>
    </row>
    <row r="35" spans="1:13" ht="22.5" customHeight="1">
      <c r="A35" s="25" t="s">
        <v>18</v>
      </c>
      <c r="B35" s="18">
        <f>396250</f>
        <v>396250</v>
      </c>
      <c r="C35" s="18">
        <v>119670</v>
      </c>
      <c r="D35" s="18">
        <f t="shared" si="18"/>
        <v>515920</v>
      </c>
      <c r="E35" s="18">
        <f>396250</f>
        <v>396250</v>
      </c>
      <c r="F35" s="18">
        <v>119670</v>
      </c>
      <c r="G35" s="18">
        <f t="shared" si="20"/>
        <v>515920</v>
      </c>
      <c r="H35" s="18">
        <f>396250</f>
        <v>396250</v>
      </c>
      <c r="I35" s="18">
        <v>119670</v>
      </c>
      <c r="J35" s="18">
        <f t="shared" si="22"/>
        <v>515920</v>
      </c>
      <c r="K35" s="6">
        <f t="shared" si="4"/>
        <v>33020.833333333336</v>
      </c>
      <c r="L35" s="6">
        <f t="shared" si="4"/>
        <v>9972.5</v>
      </c>
      <c r="M35" s="6">
        <f t="shared" si="4"/>
        <v>42993.333333333336</v>
      </c>
    </row>
    <row r="36" spans="1:13" ht="22.5" customHeight="1">
      <c r="A36" s="25" t="s">
        <v>19</v>
      </c>
      <c r="B36" s="18">
        <f>396210</f>
        <v>396210</v>
      </c>
      <c r="C36" s="18">
        <v>119660</v>
      </c>
      <c r="D36" s="18">
        <f t="shared" si="18"/>
        <v>515870</v>
      </c>
      <c r="E36" s="18">
        <f>396210</f>
        <v>396210</v>
      </c>
      <c r="F36" s="18">
        <v>119660</v>
      </c>
      <c r="G36" s="18">
        <f t="shared" si="20"/>
        <v>515870</v>
      </c>
      <c r="H36" s="18">
        <f>396210</f>
        <v>396210</v>
      </c>
      <c r="I36" s="18">
        <v>119660</v>
      </c>
      <c r="J36" s="18">
        <f t="shared" si="22"/>
        <v>515870</v>
      </c>
      <c r="K36" s="6">
        <f t="shared" si="4"/>
        <v>33017.5</v>
      </c>
      <c r="L36" s="6">
        <f t="shared" si="4"/>
        <v>9971.6666666666661</v>
      </c>
      <c r="M36" s="6">
        <f t="shared" si="4"/>
        <v>42989.166666666664</v>
      </c>
    </row>
    <row r="37" spans="1:13" ht="22.5" customHeight="1">
      <c r="A37" s="25" t="s">
        <v>20</v>
      </c>
      <c r="B37" s="18">
        <f>396250</f>
        <v>396250</v>
      </c>
      <c r="C37" s="18">
        <v>119660</v>
      </c>
      <c r="D37" s="18">
        <f t="shared" si="18"/>
        <v>515910</v>
      </c>
      <c r="E37" s="18">
        <f>396250</f>
        <v>396250</v>
      </c>
      <c r="F37" s="18">
        <v>119660</v>
      </c>
      <c r="G37" s="18">
        <f t="shared" si="20"/>
        <v>515910</v>
      </c>
      <c r="H37" s="18">
        <f>396250</f>
        <v>396250</v>
      </c>
      <c r="I37" s="18">
        <v>119660</v>
      </c>
      <c r="J37" s="18">
        <f t="shared" si="22"/>
        <v>515910</v>
      </c>
      <c r="K37" s="6">
        <f t="shared" si="4"/>
        <v>33020.833333333336</v>
      </c>
      <c r="L37" s="6">
        <f t="shared" si="4"/>
        <v>9971.6666666666661</v>
      </c>
      <c r="M37" s="6">
        <f t="shared" si="4"/>
        <v>42992.5</v>
      </c>
    </row>
    <row r="38" spans="1:13" ht="22.5" customHeight="1">
      <c r="A38" s="25" t="s">
        <v>21</v>
      </c>
      <c r="B38" s="18">
        <f>429860</f>
        <v>429860</v>
      </c>
      <c r="C38" s="18">
        <v>129820</v>
      </c>
      <c r="D38" s="18">
        <f t="shared" si="18"/>
        <v>559680</v>
      </c>
      <c r="E38" s="18">
        <f>429860</f>
        <v>429860</v>
      </c>
      <c r="F38" s="18">
        <v>129820</v>
      </c>
      <c r="G38" s="18">
        <f t="shared" si="20"/>
        <v>559680</v>
      </c>
      <c r="H38" s="18">
        <f>429860</f>
        <v>429860</v>
      </c>
      <c r="I38" s="18">
        <v>129820</v>
      </c>
      <c r="J38" s="18">
        <f t="shared" si="22"/>
        <v>559680</v>
      </c>
      <c r="K38" s="6">
        <f t="shared" si="4"/>
        <v>35821.666666666664</v>
      </c>
      <c r="L38" s="6">
        <f t="shared" si="4"/>
        <v>10818.333333333334</v>
      </c>
      <c r="M38" s="6">
        <f t="shared" si="4"/>
        <v>46640</v>
      </c>
    </row>
    <row r="39" spans="1:13" ht="22.5" customHeight="1">
      <c r="A39" s="25" t="s">
        <v>22</v>
      </c>
      <c r="B39" s="18"/>
      <c r="C39" s="18">
        <f t="shared" si="17"/>
        <v>0</v>
      </c>
      <c r="D39" s="18">
        <f t="shared" si="18"/>
        <v>0</v>
      </c>
      <c r="E39" s="18"/>
      <c r="F39" s="18">
        <f t="shared" ref="F39" si="23">E39*30.2%</f>
        <v>0</v>
      </c>
      <c r="G39" s="18">
        <f t="shared" si="20"/>
        <v>0</v>
      </c>
      <c r="H39" s="18"/>
      <c r="I39" s="18">
        <f t="shared" ref="I39" si="24">H39*30.2%</f>
        <v>0</v>
      </c>
      <c r="J39" s="18">
        <f t="shared" si="22"/>
        <v>0</v>
      </c>
      <c r="K39" s="6">
        <f t="shared" si="4"/>
        <v>0</v>
      </c>
      <c r="L39" s="6">
        <f t="shared" si="4"/>
        <v>0</v>
      </c>
      <c r="M39" s="6">
        <f t="shared" si="4"/>
        <v>0</v>
      </c>
    </row>
    <row r="40" spans="1:13" ht="22.5" customHeight="1">
      <c r="A40" s="26" t="s">
        <v>23</v>
      </c>
      <c r="B40" s="20">
        <f t="shared" ref="B40:D40" si="25">SUM(B31:B39)</f>
        <v>3298435</v>
      </c>
      <c r="C40" s="20">
        <f t="shared" si="25"/>
        <v>996125</v>
      </c>
      <c r="D40" s="20">
        <f t="shared" si="25"/>
        <v>4294560</v>
      </c>
      <c r="E40" s="20">
        <f t="shared" ref="E40:J40" si="26">SUM(E31:E39)</f>
        <v>3298435</v>
      </c>
      <c r="F40" s="20">
        <f t="shared" si="26"/>
        <v>996125</v>
      </c>
      <c r="G40" s="20">
        <f t="shared" si="26"/>
        <v>4294560</v>
      </c>
      <c r="H40" s="20">
        <f t="shared" si="26"/>
        <v>3298435</v>
      </c>
      <c r="I40" s="20">
        <f t="shared" si="26"/>
        <v>996125</v>
      </c>
      <c r="J40" s="20">
        <f t="shared" si="26"/>
        <v>4294560</v>
      </c>
      <c r="K40" s="6">
        <f t="shared" si="4"/>
        <v>274869.58333333331</v>
      </c>
      <c r="L40" s="6">
        <f t="shared" si="4"/>
        <v>83010.416666666672</v>
      </c>
      <c r="M40" s="6">
        <f t="shared" si="4"/>
        <v>357880</v>
      </c>
    </row>
    <row r="41" spans="1:13" ht="22.5" customHeight="1">
      <c r="A41" s="23" t="s">
        <v>14</v>
      </c>
      <c r="B41" s="17">
        <f>464890+343800</f>
        <v>808690</v>
      </c>
      <c r="C41" s="17">
        <v>244205</v>
      </c>
      <c r="D41" s="17">
        <f>B41+C41</f>
        <v>1052895</v>
      </c>
      <c r="E41" s="17">
        <f>464890+343800</f>
        <v>808690</v>
      </c>
      <c r="F41" s="17">
        <v>244205</v>
      </c>
      <c r="G41" s="17">
        <f>E41+F41</f>
        <v>1052895</v>
      </c>
      <c r="H41" s="17">
        <f>464890+343800</f>
        <v>808690</v>
      </c>
      <c r="I41" s="17">
        <v>244205</v>
      </c>
      <c r="J41" s="17">
        <f>H41+I41</f>
        <v>1052895</v>
      </c>
      <c r="K41" s="6">
        <f t="shared" si="4"/>
        <v>67390.833333333328</v>
      </c>
      <c r="L41" s="6">
        <f t="shared" si="4"/>
        <v>20350.416666666668</v>
      </c>
      <c r="M41" s="6">
        <f t="shared" si="4"/>
        <v>87741.25</v>
      </c>
    </row>
    <row r="42" spans="1:13" ht="22.5" customHeight="1">
      <c r="A42" s="23" t="s">
        <v>15</v>
      </c>
      <c r="B42" s="17">
        <f>501770+252000</f>
        <v>753770</v>
      </c>
      <c r="C42" s="17">
        <v>227640</v>
      </c>
      <c r="D42" s="17">
        <f t="shared" ref="D42:D58" si="27">B42+C42</f>
        <v>981410</v>
      </c>
      <c r="E42" s="17">
        <f>501770+252000</f>
        <v>753770</v>
      </c>
      <c r="F42" s="17">
        <v>227640</v>
      </c>
      <c r="G42" s="17">
        <f t="shared" ref="G42:G49" si="28">E42+F42</f>
        <v>981410</v>
      </c>
      <c r="H42" s="17">
        <f>501770+252000</f>
        <v>753770</v>
      </c>
      <c r="I42" s="17">
        <v>227640</v>
      </c>
      <c r="J42" s="17">
        <f t="shared" ref="J42:J49" si="29">H42+I42</f>
        <v>981410</v>
      </c>
      <c r="K42" s="6">
        <f t="shared" si="4"/>
        <v>62814.166666666664</v>
      </c>
      <c r="L42" s="6">
        <f t="shared" si="4"/>
        <v>18970</v>
      </c>
      <c r="M42" s="6">
        <f t="shared" si="4"/>
        <v>81784.166666666672</v>
      </c>
    </row>
    <row r="43" spans="1:13" ht="22.5" customHeight="1">
      <c r="A43" s="23" t="s">
        <v>16</v>
      </c>
      <c r="B43" s="17">
        <f>272300+364300</f>
        <v>636600</v>
      </c>
      <c r="C43" s="17">
        <v>192250</v>
      </c>
      <c r="D43" s="17">
        <f t="shared" si="27"/>
        <v>828850</v>
      </c>
      <c r="E43" s="17">
        <f>272300+364300</f>
        <v>636600</v>
      </c>
      <c r="F43" s="17">
        <v>192250</v>
      </c>
      <c r="G43" s="17">
        <f t="shared" si="28"/>
        <v>828850</v>
      </c>
      <c r="H43" s="17">
        <f>272300+364300</f>
        <v>636600</v>
      </c>
      <c r="I43" s="17">
        <v>192250</v>
      </c>
      <c r="J43" s="17">
        <f t="shared" si="29"/>
        <v>828850</v>
      </c>
      <c r="K43" s="6">
        <f t="shared" si="4"/>
        <v>53050</v>
      </c>
      <c r="L43" s="6">
        <f t="shared" si="4"/>
        <v>16020.833333333334</v>
      </c>
      <c r="M43" s="6">
        <f t="shared" si="4"/>
        <v>69070.833333333328</v>
      </c>
    </row>
    <row r="44" spans="1:13" ht="22.5" customHeight="1">
      <c r="A44" s="23" t="s">
        <v>17</v>
      </c>
      <c r="B44" s="17">
        <f>443850+329860</f>
        <v>773710</v>
      </c>
      <c r="C44" s="17">
        <v>233660</v>
      </c>
      <c r="D44" s="17">
        <f t="shared" si="27"/>
        <v>1007370</v>
      </c>
      <c r="E44" s="17">
        <f>443850+329860</f>
        <v>773710</v>
      </c>
      <c r="F44" s="17">
        <v>233660</v>
      </c>
      <c r="G44" s="17">
        <f t="shared" si="28"/>
        <v>1007370</v>
      </c>
      <c r="H44" s="17">
        <f>443850+329860</f>
        <v>773710</v>
      </c>
      <c r="I44" s="17">
        <v>233660</v>
      </c>
      <c r="J44" s="17">
        <f t="shared" si="29"/>
        <v>1007370</v>
      </c>
      <c r="K44" s="6">
        <f t="shared" si="4"/>
        <v>64475.833333333336</v>
      </c>
      <c r="L44" s="6">
        <f t="shared" si="4"/>
        <v>19471.666666666668</v>
      </c>
      <c r="M44" s="6">
        <f t="shared" si="4"/>
        <v>83947.5</v>
      </c>
    </row>
    <row r="45" spans="1:13" ht="22.5" customHeight="1">
      <c r="A45" s="23" t="s">
        <v>18</v>
      </c>
      <c r="B45" s="17">
        <f>256000+397000</f>
        <v>653000</v>
      </c>
      <c r="C45" s="17">
        <f t="shared" ref="C45:C49" si="30">B45*30.2%</f>
        <v>197206</v>
      </c>
      <c r="D45" s="17">
        <f t="shared" si="27"/>
        <v>850206</v>
      </c>
      <c r="E45" s="17">
        <f>256000+397000</f>
        <v>653000</v>
      </c>
      <c r="F45" s="17">
        <f t="shared" ref="F45" si="31">E45*30.2%</f>
        <v>197206</v>
      </c>
      <c r="G45" s="17">
        <f t="shared" si="28"/>
        <v>850206</v>
      </c>
      <c r="H45" s="17">
        <f>256000+397000</f>
        <v>653000</v>
      </c>
      <c r="I45" s="17">
        <f t="shared" ref="I45" si="32">H45*30.2%</f>
        <v>197206</v>
      </c>
      <c r="J45" s="17">
        <f t="shared" si="29"/>
        <v>850206</v>
      </c>
      <c r="K45" s="6">
        <f t="shared" si="4"/>
        <v>54416.666666666664</v>
      </c>
      <c r="L45" s="6">
        <f t="shared" si="4"/>
        <v>16433.833333333332</v>
      </c>
      <c r="M45" s="6">
        <f t="shared" si="4"/>
        <v>70850.5</v>
      </c>
    </row>
    <row r="46" spans="1:13" ht="22.5" customHeight="1">
      <c r="A46" s="23" t="s">
        <v>19</v>
      </c>
      <c r="B46" s="17">
        <f>301820+314580</f>
        <v>616400</v>
      </c>
      <c r="C46" s="17">
        <v>186150</v>
      </c>
      <c r="D46" s="17">
        <f t="shared" si="27"/>
        <v>802550</v>
      </c>
      <c r="E46" s="17">
        <f>301820+314580</f>
        <v>616400</v>
      </c>
      <c r="F46" s="17">
        <v>186150</v>
      </c>
      <c r="G46" s="17">
        <f t="shared" si="28"/>
        <v>802550</v>
      </c>
      <c r="H46" s="17">
        <f>301820+314580</f>
        <v>616400</v>
      </c>
      <c r="I46" s="17">
        <v>186150</v>
      </c>
      <c r="J46" s="17">
        <f t="shared" si="29"/>
        <v>802550</v>
      </c>
      <c r="K46" s="6">
        <f t="shared" si="4"/>
        <v>51366.666666666664</v>
      </c>
      <c r="L46" s="6">
        <f t="shared" si="4"/>
        <v>15512.5</v>
      </c>
      <c r="M46" s="6">
        <f t="shared" si="4"/>
        <v>66879.166666666672</v>
      </c>
    </row>
    <row r="47" spans="1:13" ht="22.5" customHeight="1">
      <c r="A47" s="23" t="s">
        <v>20</v>
      </c>
      <c r="B47" s="17">
        <f>400180+274310</f>
        <v>674490</v>
      </c>
      <c r="C47" s="17">
        <v>203700</v>
      </c>
      <c r="D47" s="17">
        <f t="shared" si="27"/>
        <v>878190</v>
      </c>
      <c r="E47" s="17">
        <f>400180+274310</f>
        <v>674490</v>
      </c>
      <c r="F47" s="17">
        <v>203700</v>
      </c>
      <c r="G47" s="17">
        <f t="shared" si="28"/>
        <v>878190</v>
      </c>
      <c r="H47" s="17">
        <f>400180+274310</f>
        <v>674490</v>
      </c>
      <c r="I47" s="17">
        <v>203700</v>
      </c>
      <c r="J47" s="17">
        <f t="shared" si="29"/>
        <v>878190</v>
      </c>
      <c r="K47" s="6">
        <f t="shared" si="4"/>
        <v>56207.5</v>
      </c>
      <c r="L47" s="6">
        <f t="shared" si="4"/>
        <v>16975</v>
      </c>
      <c r="M47" s="6">
        <f t="shared" si="4"/>
        <v>73182.5</v>
      </c>
    </row>
    <row r="48" spans="1:13" ht="22.5" customHeight="1">
      <c r="A48" s="23" t="s">
        <v>21</v>
      </c>
      <c r="B48" s="17">
        <f>285920+353760</f>
        <v>639680</v>
      </c>
      <c r="C48" s="17">
        <v>193180</v>
      </c>
      <c r="D48" s="17">
        <f t="shared" si="27"/>
        <v>832860</v>
      </c>
      <c r="E48" s="17">
        <f>285920+353760</f>
        <v>639680</v>
      </c>
      <c r="F48" s="17">
        <v>193180</v>
      </c>
      <c r="G48" s="17">
        <f t="shared" si="28"/>
        <v>832860</v>
      </c>
      <c r="H48" s="17">
        <f>285920+353760</f>
        <v>639680</v>
      </c>
      <c r="I48" s="17">
        <v>193180</v>
      </c>
      <c r="J48" s="17">
        <f t="shared" si="29"/>
        <v>832860</v>
      </c>
      <c r="K48" s="6">
        <f t="shared" si="4"/>
        <v>53306.666666666664</v>
      </c>
      <c r="L48" s="6">
        <f t="shared" si="4"/>
        <v>16098.333333333334</v>
      </c>
      <c r="M48" s="6">
        <f t="shared" si="4"/>
        <v>69405</v>
      </c>
    </row>
    <row r="49" spans="1:13" ht="22.5" customHeight="1">
      <c r="A49" s="23" t="s">
        <v>22</v>
      </c>
      <c r="B49" s="17"/>
      <c r="C49" s="17">
        <f t="shared" si="30"/>
        <v>0</v>
      </c>
      <c r="D49" s="17">
        <f t="shared" si="27"/>
        <v>0</v>
      </c>
      <c r="E49" s="17"/>
      <c r="F49" s="17">
        <f t="shared" ref="F49" si="33">E49*30.2%</f>
        <v>0</v>
      </c>
      <c r="G49" s="17">
        <f t="shared" si="28"/>
        <v>0</v>
      </c>
      <c r="H49" s="17"/>
      <c r="I49" s="17">
        <f t="shared" ref="I49" si="34">H49*30.2%</f>
        <v>0</v>
      </c>
      <c r="J49" s="17">
        <f t="shared" si="29"/>
        <v>0</v>
      </c>
      <c r="K49" s="6">
        <f t="shared" si="4"/>
        <v>0</v>
      </c>
      <c r="L49" s="6">
        <f t="shared" si="4"/>
        <v>0</v>
      </c>
      <c r="M49" s="6">
        <f t="shared" si="4"/>
        <v>0</v>
      </c>
    </row>
    <row r="50" spans="1:13" ht="22.5" customHeight="1">
      <c r="A50" s="26" t="s">
        <v>25</v>
      </c>
      <c r="B50" s="20">
        <f>SUM(B41:B49)</f>
        <v>5556340</v>
      </c>
      <c r="C50" s="20">
        <f t="shared" ref="C50:J50" si="35">SUM(C41:C49)</f>
        <v>1677991</v>
      </c>
      <c r="D50" s="20">
        <f t="shared" si="35"/>
        <v>7234331</v>
      </c>
      <c r="E50" s="20">
        <f t="shared" si="35"/>
        <v>5556340</v>
      </c>
      <c r="F50" s="20">
        <f t="shared" si="35"/>
        <v>1677991</v>
      </c>
      <c r="G50" s="20">
        <f t="shared" si="35"/>
        <v>7234331</v>
      </c>
      <c r="H50" s="20">
        <f t="shared" si="35"/>
        <v>5556340</v>
      </c>
      <c r="I50" s="20">
        <f t="shared" si="35"/>
        <v>1677991</v>
      </c>
      <c r="J50" s="20">
        <f t="shared" si="35"/>
        <v>7234331</v>
      </c>
      <c r="K50" s="6">
        <f t="shared" si="4"/>
        <v>463028.33333333331</v>
      </c>
      <c r="L50" s="6">
        <f t="shared" si="4"/>
        <v>139832.58333333334</v>
      </c>
      <c r="M50" s="6">
        <f t="shared" si="4"/>
        <v>602860.91666666663</v>
      </c>
    </row>
    <row r="51" spans="1:13" s="16" customFormat="1" ht="22.5" customHeight="1">
      <c r="A51" s="23" t="s">
        <v>14</v>
      </c>
      <c r="B51" s="21">
        <v>57450.080000000002</v>
      </c>
      <c r="C51" s="21">
        <v>17349.919999999998</v>
      </c>
      <c r="D51" s="17">
        <f t="shared" si="27"/>
        <v>74800</v>
      </c>
      <c r="E51" s="21">
        <v>57450.080000000002</v>
      </c>
      <c r="F51" s="21">
        <v>17349.919999999998</v>
      </c>
      <c r="G51" s="17">
        <f t="shared" ref="G51:G58" si="36">E51+F51</f>
        <v>74800</v>
      </c>
      <c r="H51" s="21">
        <v>57450.080000000002</v>
      </c>
      <c r="I51" s="21">
        <v>17349.919999999998</v>
      </c>
      <c r="J51" s="17">
        <f t="shared" ref="J51:J58" si="37">H51+I51</f>
        <v>74800</v>
      </c>
      <c r="K51" s="6">
        <f t="shared" si="4"/>
        <v>4787.5066666666671</v>
      </c>
      <c r="L51" s="6">
        <f t="shared" si="4"/>
        <v>1445.8266666666666</v>
      </c>
      <c r="M51" s="6">
        <f t="shared" si="4"/>
        <v>6233.333333333333</v>
      </c>
    </row>
    <row r="52" spans="1:13" ht="22.5" customHeight="1">
      <c r="A52" s="23" t="s">
        <v>15</v>
      </c>
      <c r="B52" s="21">
        <v>71812.59</v>
      </c>
      <c r="C52" s="21">
        <v>21687.41</v>
      </c>
      <c r="D52" s="17">
        <f t="shared" si="27"/>
        <v>93500</v>
      </c>
      <c r="E52" s="21">
        <v>71812.59</v>
      </c>
      <c r="F52" s="21">
        <v>21687.41</v>
      </c>
      <c r="G52" s="17">
        <f t="shared" si="36"/>
        <v>93500</v>
      </c>
      <c r="H52" s="21">
        <v>71812.59</v>
      </c>
      <c r="I52" s="21">
        <v>21687.41</v>
      </c>
      <c r="J52" s="17">
        <f t="shared" si="37"/>
        <v>93500</v>
      </c>
      <c r="K52" s="6">
        <f t="shared" si="4"/>
        <v>5984.3824999999997</v>
      </c>
      <c r="L52" s="6">
        <f t="shared" si="4"/>
        <v>1807.2841666666666</v>
      </c>
      <c r="M52" s="6">
        <f t="shared" si="4"/>
        <v>7791.666666666667</v>
      </c>
    </row>
    <row r="53" spans="1:13" ht="22.5" customHeight="1">
      <c r="A53" s="23" t="s">
        <v>16</v>
      </c>
      <c r="B53" s="21">
        <v>57450.080000000002</v>
      </c>
      <c r="C53" s="21">
        <v>17349.919999999998</v>
      </c>
      <c r="D53" s="17">
        <f t="shared" si="27"/>
        <v>74800</v>
      </c>
      <c r="E53" s="21">
        <v>57450.080000000002</v>
      </c>
      <c r="F53" s="21">
        <v>17349.919999999998</v>
      </c>
      <c r="G53" s="17">
        <f t="shared" si="36"/>
        <v>74800</v>
      </c>
      <c r="H53" s="21">
        <v>57450.080000000002</v>
      </c>
      <c r="I53" s="21">
        <v>17349.919999999998</v>
      </c>
      <c r="J53" s="17">
        <f t="shared" si="37"/>
        <v>74800</v>
      </c>
      <c r="K53" s="6">
        <f t="shared" si="4"/>
        <v>4787.5066666666671</v>
      </c>
      <c r="L53" s="6">
        <f t="shared" si="4"/>
        <v>1445.8266666666666</v>
      </c>
      <c r="M53" s="6">
        <f t="shared" si="4"/>
        <v>6233.333333333333</v>
      </c>
    </row>
    <row r="54" spans="1:13" ht="22.5" customHeight="1">
      <c r="A54" s="23" t="s">
        <v>17</v>
      </c>
      <c r="B54" s="21">
        <v>71812.59</v>
      </c>
      <c r="C54" s="21">
        <v>21687.41</v>
      </c>
      <c r="D54" s="17">
        <f t="shared" si="27"/>
        <v>93500</v>
      </c>
      <c r="E54" s="21">
        <v>71812.59</v>
      </c>
      <c r="F54" s="21">
        <v>21687.41</v>
      </c>
      <c r="G54" s="17">
        <f t="shared" si="36"/>
        <v>93500</v>
      </c>
      <c r="H54" s="21">
        <v>71812.59</v>
      </c>
      <c r="I54" s="21">
        <v>21687.41</v>
      </c>
      <c r="J54" s="17">
        <f t="shared" si="37"/>
        <v>93500</v>
      </c>
      <c r="K54" s="6">
        <f t="shared" si="4"/>
        <v>5984.3824999999997</v>
      </c>
      <c r="L54" s="6">
        <f t="shared" si="4"/>
        <v>1807.2841666666666</v>
      </c>
      <c r="M54" s="6">
        <f t="shared" si="4"/>
        <v>7791.666666666667</v>
      </c>
    </row>
    <row r="55" spans="1:13" ht="22.5" customHeight="1">
      <c r="A55" s="23" t="s">
        <v>18</v>
      </c>
      <c r="B55" s="21">
        <v>43087.56</v>
      </c>
      <c r="C55" s="21">
        <v>13012.44</v>
      </c>
      <c r="D55" s="17">
        <f t="shared" si="27"/>
        <v>56100</v>
      </c>
      <c r="E55" s="21">
        <v>43087.56</v>
      </c>
      <c r="F55" s="21">
        <v>13012.44</v>
      </c>
      <c r="G55" s="17">
        <f t="shared" si="36"/>
        <v>56100</v>
      </c>
      <c r="H55" s="21">
        <v>43087.56</v>
      </c>
      <c r="I55" s="21">
        <v>13012.44</v>
      </c>
      <c r="J55" s="17">
        <f t="shared" si="37"/>
        <v>56100</v>
      </c>
      <c r="K55" s="6">
        <f t="shared" si="4"/>
        <v>3590.6299999999997</v>
      </c>
      <c r="L55" s="6">
        <f t="shared" si="4"/>
        <v>1084.3700000000001</v>
      </c>
      <c r="M55" s="6">
        <f t="shared" si="4"/>
        <v>4675</v>
      </c>
    </row>
    <row r="56" spans="1:13" ht="22.5" customHeight="1">
      <c r="A56" s="23" t="s">
        <v>19</v>
      </c>
      <c r="B56" s="21">
        <v>43087.56</v>
      </c>
      <c r="C56" s="21">
        <v>13012.44</v>
      </c>
      <c r="D56" s="17">
        <f t="shared" si="27"/>
        <v>56100</v>
      </c>
      <c r="E56" s="21">
        <v>43087.56</v>
      </c>
      <c r="F56" s="21">
        <v>13012.44</v>
      </c>
      <c r="G56" s="17">
        <f t="shared" si="36"/>
        <v>56100</v>
      </c>
      <c r="H56" s="21">
        <v>43087.56</v>
      </c>
      <c r="I56" s="21">
        <v>13012.44</v>
      </c>
      <c r="J56" s="17">
        <f t="shared" si="37"/>
        <v>56100</v>
      </c>
      <c r="K56" s="6">
        <f t="shared" si="4"/>
        <v>3590.6299999999997</v>
      </c>
      <c r="L56" s="6">
        <f t="shared" si="4"/>
        <v>1084.3700000000001</v>
      </c>
      <c r="M56" s="6">
        <f t="shared" si="4"/>
        <v>4675</v>
      </c>
    </row>
    <row r="57" spans="1:13" ht="22.5" customHeight="1">
      <c r="A57" s="23" t="s">
        <v>20</v>
      </c>
      <c r="B57" s="21">
        <v>43087.56</v>
      </c>
      <c r="C57" s="21">
        <v>13012.44</v>
      </c>
      <c r="D57" s="17">
        <f t="shared" si="27"/>
        <v>56100</v>
      </c>
      <c r="E57" s="21">
        <v>43087.56</v>
      </c>
      <c r="F57" s="21">
        <v>13012.44</v>
      </c>
      <c r="G57" s="17">
        <f t="shared" si="36"/>
        <v>56100</v>
      </c>
      <c r="H57" s="21">
        <v>43087.56</v>
      </c>
      <c r="I57" s="21">
        <v>13012.44</v>
      </c>
      <c r="J57" s="17">
        <f t="shared" si="37"/>
        <v>56100</v>
      </c>
      <c r="K57" s="6">
        <f t="shared" si="4"/>
        <v>3590.6299999999997</v>
      </c>
      <c r="L57" s="6">
        <f t="shared" si="4"/>
        <v>1084.3700000000001</v>
      </c>
      <c r="M57" s="6">
        <f t="shared" si="4"/>
        <v>4675</v>
      </c>
    </row>
    <row r="58" spans="1:13" ht="22.5" customHeight="1">
      <c r="A58" s="23" t="s">
        <v>21</v>
      </c>
      <c r="B58" s="21">
        <v>43087.56</v>
      </c>
      <c r="C58" s="21">
        <v>13012.44</v>
      </c>
      <c r="D58" s="17">
        <f t="shared" si="27"/>
        <v>56100</v>
      </c>
      <c r="E58" s="21">
        <v>43087.56</v>
      </c>
      <c r="F58" s="21">
        <v>13012.44</v>
      </c>
      <c r="G58" s="17">
        <f t="shared" si="36"/>
        <v>56100</v>
      </c>
      <c r="H58" s="21">
        <v>43087.56</v>
      </c>
      <c r="I58" s="21">
        <v>13012.44</v>
      </c>
      <c r="J58" s="17">
        <f t="shared" si="37"/>
        <v>56100</v>
      </c>
      <c r="K58" s="6">
        <f t="shared" si="4"/>
        <v>3590.6299999999997</v>
      </c>
      <c r="L58" s="6">
        <f t="shared" si="4"/>
        <v>1084.3700000000001</v>
      </c>
      <c r="M58" s="6">
        <f t="shared" si="4"/>
        <v>4675</v>
      </c>
    </row>
    <row r="59" spans="1:13" ht="22.5" customHeight="1">
      <c r="A59" s="27" t="s">
        <v>40</v>
      </c>
      <c r="B59" s="22">
        <f>SUM(B51:B58)</f>
        <v>430875.58</v>
      </c>
      <c r="C59" s="22">
        <f t="shared" ref="C59:J59" si="38">SUM(C51:C58)</f>
        <v>130124.42000000001</v>
      </c>
      <c r="D59" s="22">
        <f t="shared" si="38"/>
        <v>561000</v>
      </c>
      <c r="E59" s="22">
        <f t="shared" si="38"/>
        <v>430875.58</v>
      </c>
      <c r="F59" s="22">
        <f t="shared" si="38"/>
        <v>130124.42000000001</v>
      </c>
      <c r="G59" s="22">
        <f t="shared" si="38"/>
        <v>561000</v>
      </c>
      <c r="H59" s="22">
        <f t="shared" si="38"/>
        <v>430875.58</v>
      </c>
      <c r="I59" s="22">
        <f t="shared" si="38"/>
        <v>130124.42000000001</v>
      </c>
      <c r="J59" s="22">
        <f t="shared" si="38"/>
        <v>561000</v>
      </c>
      <c r="K59" s="6">
        <f t="shared" si="4"/>
        <v>35906.298333333332</v>
      </c>
      <c r="L59" s="6">
        <f t="shared" si="4"/>
        <v>10843.701666666668</v>
      </c>
      <c r="M59" s="6">
        <f t="shared" si="4"/>
        <v>46750</v>
      </c>
    </row>
    <row r="60" spans="1:13" ht="22.5" customHeight="1">
      <c r="A60" s="23" t="s">
        <v>14</v>
      </c>
      <c r="B60" s="17">
        <f>201000</f>
        <v>201000</v>
      </c>
      <c r="C60" s="17">
        <f t="shared" ref="C60:C68" si="39">B60*30.2%</f>
        <v>60702</v>
      </c>
      <c r="D60" s="17">
        <f>B60+C60</f>
        <v>261702</v>
      </c>
      <c r="E60" s="17">
        <f>201000</f>
        <v>201000</v>
      </c>
      <c r="F60" s="17">
        <f t="shared" ref="F60" si="40">E60*30.2%</f>
        <v>60702</v>
      </c>
      <c r="G60" s="17">
        <f>E60+F60</f>
        <v>261702</v>
      </c>
      <c r="H60" s="17">
        <f>201000</f>
        <v>201000</v>
      </c>
      <c r="I60" s="17">
        <f t="shared" ref="I60" si="41">H60*30.2%</f>
        <v>60702</v>
      </c>
      <c r="J60" s="17">
        <f>H60+I60</f>
        <v>261702</v>
      </c>
      <c r="K60" s="6">
        <f t="shared" si="4"/>
        <v>16750</v>
      </c>
      <c r="L60" s="6">
        <f t="shared" si="4"/>
        <v>5058.5</v>
      </c>
      <c r="M60" s="6">
        <f t="shared" si="4"/>
        <v>21808.5</v>
      </c>
    </row>
    <row r="61" spans="1:13" ht="22.5" customHeight="1">
      <c r="A61" s="23" t="s">
        <v>15</v>
      </c>
      <c r="B61" s="17">
        <f>187811</f>
        <v>187811</v>
      </c>
      <c r="C61" s="17">
        <v>56720</v>
      </c>
      <c r="D61" s="17">
        <f t="shared" ref="D61:D68" si="42">B61+C61</f>
        <v>244531</v>
      </c>
      <c r="E61" s="17">
        <f>187811</f>
        <v>187811</v>
      </c>
      <c r="F61" s="17">
        <v>56720</v>
      </c>
      <c r="G61" s="17">
        <f t="shared" ref="G61:G68" si="43">E61+F61</f>
        <v>244531</v>
      </c>
      <c r="H61" s="17">
        <f>187811</f>
        <v>187811</v>
      </c>
      <c r="I61" s="17">
        <v>56720</v>
      </c>
      <c r="J61" s="17">
        <f t="shared" ref="J61:J68" si="44">H61+I61</f>
        <v>244531</v>
      </c>
      <c r="K61" s="6">
        <f t="shared" si="4"/>
        <v>15650.916666666666</v>
      </c>
      <c r="L61" s="6">
        <f t="shared" si="4"/>
        <v>4726.666666666667</v>
      </c>
      <c r="M61" s="6">
        <f t="shared" si="4"/>
        <v>20377.583333333332</v>
      </c>
    </row>
    <row r="62" spans="1:13" ht="22.5" customHeight="1">
      <c r="A62" s="23" t="s">
        <v>16</v>
      </c>
      <c r="B62" s="17">
        <f>202600</f>
        <v>202600</v>
      </c>
      <c r="C62" s="17">
        <v>61180</v>
      </c>
      <c r="D62" s="17">
        <f t="shared" si="42"/>
        <v>263780</v>
      </c>
      <c r="E62" s="17">
        <f>202600</f>
        <v>202600</v>
      </c>
      <c r="F62" s="17">
        <v>61180</v>
      </c>
      <c r="G62" s="17">
        <f t="shared" si="43"/>
        <v>263780</v>
      </c>
      <c r="H62" s="17">
        <f>202600</f>
        <v>202600</v>
      </c>
      <c r="I62" s="17">
        <v>61180</v>
      </c>
      <c r="J62" s="17">
        <f t="shared" si="44"/>
        <v>263780</v>
      </c>
      <c r="K62" s="6">
        <f t="shared" si="4"/>
        <v>16883.333333333332</v>
      </c>
      <c r="L62" s="6">
        <f t="shared" si="4"/>
        <v>5098.333333333333</v>
      </c>
      <c r="M62" s="6">
        <f t="shared" si="4"/>
        <v>21981.666666666668</v>
      </c>
    </row>
    <row r="63" spans="1:13" ht="22.5" customHeight="1">
      <c r="A63" s="23" t="s">
        <v>17</v>
      </c>
      <c r="B63" s="17">
        <f>200930</f>
        <v>200930</v>
      </c>
      <c r="C63" s="17">
        <v>60680</v>
      </c>
      <c r="D63" s="17">
        <f t="shared" si="42"/>
        <v>261610</v>
      </c>
      <c r="E63" s="17">
        <f>200930</f>
        <v>200930</v>
      </c>
      <c r="F63" s="17">
        <v>60680</v>
      </c>
      <c r="G63" s="17">
        <f t="shared" si="43"/>
        <v>261610</v>
      </c>
      <c r="H63" s="17">
        <f>200930</f>
        <v>200930</v>
      </c>
      <c r="I63" s="17">
        <v>60680</v>
      </c>
      <c r="J63" s="17">
        <f t="shared" si="44"/>
        <v>261610</v>
      </c>
      <c r="K63" s="6">
        <f t="shared" si="4"/>
        <v>16744.166666666668</v>
      </c>
      <c r="L63" s="6">
        <f t="shared" si="4"/>
        <v>5056.666666666667</v>
      </c>
      <c r="M63" s="6">
        <f t="shared" si="4"/>
        <v>21800.833333333332</v>
      </c>
    </row>
    <row r="64" spans="1:13" ht="22.5" customHeight="1">
      <c r="A64" s="23" t="s">
        <v>18</v>
      </c>
      <c r="B64" s="17">
        <f>201000</f>
        <v>201000</v>
      </c>
      <c r="C64" s="17">
        <v>60700</v>
      </c>
      <c r="D64" s="17">
        <f t="shared" si="42"/>
        <v>261700</v>
      </c>
      <c r="E64" s="17">
        <f>201000</f>
        <v>201000</v>
      </c>
      <c r="F64" s="17">
        <v>60700</v>
      </c>
      <c r="G64" s="17">
        <f t="shared" si="43"/>
        <v>261700</v>
      </c>
      <c r="H64" s="17">
        <f>201000</f>
        <v>201000</v>
      </c>
      <c r="I64" s="17">
        <v>60700</v>
      </c>
      <c r="J64" s="17">
        <f t="shared" si="44"/>
        <v>261700</v>
      </c>
      <c r="K64" s="6">
        <f t="shared" si="4"/>
        <v>16750</v>
      </c>
      <c r="L64" s="6">
        <f t="shared" si="4"/>
        <v>5058.333333333333</v>
      </c>
      <c r="M64" s="6">
        <f t="shared" si="4"/>
        <v>21808.333333333332</v>
      </c>
    </row>
    <row r="65" spans="1:13" ht="22.5" customHeight="1">
      <c r="A65" s="23" t="s">
        <v>19</v>
      </c>
      <c r="B65" s="17">
        <f>200940</f>
        <v>200940</v>
      </c>
      <c r="C65" s="17">
        <v>60680</v>
      </c>
      <c r="D65" s="17">
        <f t="shared" si="42"/>
        <v>261620</v>
      </c>
      <c r="E65" s="17">
        <f>200940</f>
        <v>200940</v>
      </c>
      <c r="F65" s="17">
        <v>60680</v>
      </c>
      <c r="G65" s="17">
        <f t="shared" si="43"/>
        <v>261620</v>
      </c>
      <c r="H65" s="17">
        <f>200940</f>
        <v>200940</v>
      </c>
      <c r="I65" s="17">
        <v>60680</v>
      </c>
      <c r="J65" s="17">
        <f t="shared" si="44"/>
        <v>261620</v>
      </c>
      <c r="K65" s="6">
        <f t="shared" si="4"/>
        <v>16745</v>
      </c>
      <c r="L65" s="6">
        <f t="shared" si="4"/>
        <v>5056.666666666667</v>
      </c>
      <c r="M65" s="6">
        <f t="shared" si="4"/>
        <v>21801.666666666668</v>
      </c>
    </row>
    <row r="66" spans="1:13" ht="22.5" customHeight="1">
      <c r="A66" s="23" t="s">
        <v>20</v>
      </c>
      <c r="B66" s="17">
        <f>184520</f>
        <v>184520</v>
      </c>
      <c r="C66" s="17">
        <v>55720</v>
      </c>
      <c r="D66" s="17">
        <f t="shared" si="42"/>
        <v>240240</v>
      </c>
      <c r="E66" s="17">
        <f>184520</f>
        <v>184520</v>
      </c>
      <c r="F66" s="17">
        <v>55720</v>
      </c>
      <c r="G66" s="17">
        <f t="shared" si="43"/>
        <v>240240</v>
      </c>
      <c r="H66" s="17">
        <f>184520</f>
        <v>184520</v>
      </c>
      <c r="I66" s="17">
        <v>55720</v>
      </c>
      <c r="J66" s="17">
        <f t="shared" si="44"/>
        <v>240240</v>
      </c>
      <c r="K66" s="6">
        <f t="shared" si="4"/>
        <v>15376.666666666666</v>
      </c>
      <c r="L66" s="6">
        <f t="shared" si="4"/>
        <v>4643.333333333333</v>
      </c>
      <c r="M66" s="6">
        <f t="shared" si="4"/>
        <v>20020</v>
      </c>
    </row>
    <row r="67" spans="1:13" ht="22.5" customHeight="1">
      <c r="A67" s="23" t="s">
        <v>21</v>
      </c>
      <c r="B67" s="17">
        <f>202560</f>
        <v>202560</v>
      </c>
      <c r="C67" s="17">
        <v>61170</v>
      </c>
      <c r="D67" s="17">
        <f t="shared" si="42"/>
        <v>263730</v>
      </c>
      <c r="E67" s="17">
        <f>202560</f>
        <v>202560</v>
      </c>
      <c r="F67" s="17">
        <v>61170</v>
      </c>
      <c r="G67" s="17">
        <f t="shared" si="43"/>
        <v>263730</v>
      </c>
      <c r="H67" s="17">
        <f>202560</f>
        <v>202560</v>
      </c>
      <c r="I67" s="17">
        <v>61170</v>
      </c>
      <c r="J67" s="17">
        <f t="shared" si="44"/>
        <v>263730</v>
      </c>
      <c r="K67" s="6">
        <f t="shared" si="4"/>
        <v>16880</v>
      </c>
      <c r="L67" s="6">
        <f t="shared" si="4"/>
        <v>5097.5</v>
      </c>
      <c r="M67" s="6">
        <f t="shared" si="4"/>
        <v>21977.5</v>
      </c>
    </row>
    <row r="68" spans="1:13" ht="22.5" customHeight="1">
      <c r="A68" s="23" t="s">
        <v>22</v>
      </c>
      <c r="B68" s="17"/>
      <c r="C68" s="17">
        <f t="shared" si="39"/>
        <v>0</v>
      </c>
      <c r="D68" s="17">
        <f t="shared" si="42"/>
        <v>0</v>
      </c>
      <c r="E68" s="17"/>
      <c r="F68" s="17">
        <f t="shared" ref="F68" si="45">E68*30.2%</f>
        <v>0</v>
      </c>
      <c r="G68" s="17">
        <f t="shared" si="43"/>
        <v>0</v>
      </c>
      <c r="H68" s="17"/>
      <c r="I68" s="17">
        <f t="shared" ref="I68" si="46">H68*30.2%</f>
        <v>0</v>
      </c>
      <c r="J68" s="17">
        <f t="shared" si="4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</row>
    <row r="69" spans="1:13" ht="22.5" customHeight="1">
      <c r="A69" s="24" t="s">
        <v>26</v>
      </c>
      <c r="B69" s="19">
        <f t="shared" ref="B69:D69" si="47">SUM(B60:B68)</f>
        <v>1581361</v>
      </c>
      <c r="C69" s="19">
        <f t="shared" si="47"/>
        <v>477552</v>
      </c>
      <c r="D69" s="19">
        <f t="shared" si="47"/>
        <v>2058913</v>
      </c>
      <c r="E69" s="19">
        <f t="shared" ref="E69:J69" si="48">SUM(E60:E68)</f>
        <v>1581361</v>
      </c>
      <c r="F69" s="19">
        <f t="shared" si="48"/>
        <v>477552</v>
      </c>
      <c r="G69" s="19">
        <f t="shared" si="48"/>
        <v>2058913</v>
      </c>
      <c r="H69" s="19">
        <f t="shared" si="48"/>
        <v>1581361</v>
      </c>
      <c r="I69" s="19">
        <f t="shared" si="48"/>
        <v>477552</v>
      </c>
      <c r="J69" s="19">
        <f t="shared" si="48"/>
        <v>2058913</v>
      </c>
      <c r="K69" s="6">
        <f t="shared" ref="K69:M77" si="49">B69/12</f>
        <v>131780.08333333334</v>
      </c>
      <c r="L69" s="6">
        <f t="shared" si="49"/>
        <v>39796</v>
      </c>
      <c r="M69" s="6">
        <f t="shared" si="49"/>
        <v>171576.08333333334</v>
      </c>
    </row>
    <row r="70" spans="1:13" ht="22.5" customHeight="1">
      <c r="A70" s="25" t="s">
        <v>34</v>
      </c>
      <c r="B70" s="18">
        <v>164612130</v>
      </c>
      <c r="C70" s="18">
        <v>49712870</v>
      </c>
      <c r="D70" s="18">
        <f>B70+C70</f>
        <v>214325000</v>
      </c>
      <c r="E70" s="18">
        <v>164612130</v>
      </c>
      <c r="F70" s="18">
        <v>49712870</v>
      </c>
      <c r="G70" s="18">
        <f>E70+F70</f>
        <v>214325000</v>
      </c>
      <c r="H70" s="18">
        <v>164612130</v>
      </c>
      <c r="I70" s="18">
        <v>49712870</v>
      </c>
      <c r="J70" s="18">
        <f>H70+I70</f>
        <v>214325000</v>
      </c>
      <c r="K70" s="6">
        <f t="shared" si="49"/>
        <v>13717677.5</v>
      </c>
      <c r="L70" s="6">
        <f t="shared" si="49"/>
        <v>4142739.1666666665</v>
      </c>
      <c r="M70" s="6">
        <f t="shared" si="49"/>
        <v>17860416.666666668</v>
      </c>
    </row>
    <row r="71" spans="1:13" ht="22.5" customHeight="1">
      <c r="A71" s="25" t="s">
        <v>36</v>
      </c>
      <c r="B71" s="18">
        <v>633487</v>
      </c>
      <c r="C71" s="18">
        <v>191313</v>
      </c>
      <c r="D71" s="18">
        <f>B71+C71</f>
        <v>824800</v>
      </c>
      <c r="E71" s="18">
        <v>633487</v>
      </c>
      <c r="F71" s="18">
        <v>191313</v>
      </c>
      <c r="G71" s="18">
        <f>E71+F71</f>
        <v>824800</v>
      </c>
      <c r="H71" s="18">
        <v>633487</v>
      </c>
      <c r="I71" s="18">
        <v>191313</v>
      </c>
      <c r="J71" s="18">
        <f>H71+I71</f>
        <v>824800</v>
      </c>
      <c r="K71" s="6">
        <f t="shared" si="49"/>
        <v>52790.583333333336</v>
      </c>
      <c r="L71" s="6">
        <f t="shared" si="49"/>
        <v>15942.75</v>
      </c>
      <c r="M71" s="6">
        <f t="shared" si="49"/>
        <v>68733.333333333328</v>
      </c>
    </row>
    <row r="72" spans="1:13" ht="22.5" customHeight="1">
      <c r="A72" s="25" t="s">
        <v>33</v>
      </c>
      <c r="B72" s="18">
        <v>63901200</v>
      </c>
      <c r="C72" s="18">
        <v>19298200</v>
      </c>
      <c r="D72" s="18">
        <f t="shared" ref="D72:D75" si="50">B72+C72</f>
        <v>83199400</v>
      </c>
      <c r="E72" s="18">
        <v>63901200</v>
      </c>
      <c r="F72" s="18">
        <v>19298200</v>
      </c>
      <c r="G72" s="18">
        <f t="shared" ref="G72:G75" si="51">E72+F72</f>
        <v>83199400</v>
      </c>
      <c r="H72" s="18">
        <v>63901200</v>
      </c>
      <c r="I72" s="18">
        <v>19298200</v>
      </c>
      <c r="J72" s="18">
        <f t="shared" ref="J72:J75" si="52">H72+I72</f>
        <v>83199400</v>
      </c>
      <c r="K72" s="6">
        <f t="shared" si="49"/>
        <v>5325100</v>
      </c>
      <c r="L72" s="6">
        <f t="shared" si="49"/>
        <v>1608183.3333333333</v>
      </c>
      <c r="M72" s="6">
        <f t="shared" si="49"/>
        <v>6933283.333333333</v>
      </c>
    </row>
    <row r="73" spans="1:13" ht="22.5" customHeight="1">
      <c r="A73" s="25" t="s">
        <v>27</v>
      </c>
      <c r="B73" s="18">
        <v>47225800</v>
      </c>
      <c r="C73" s="18">
        <v>14262200</v>
      </c>
      <c r="D73" s="18">
        <f t="shared" si="50"/>
        <v>61488000</v>
      </c>
      <c r="E73" s="18">
        <v>47225800</v>
      </c>
      <c r="F73" s="18">
        <v>14262200</v>
      </c>
      <c r="G73" s="18">
        <f t="shared" si="51"/>
        <v>61488000</v>
      </c>
      <c r="H73" s="18">
        <v>47225800</v>
      </c>
      <c r="I73" s="18">
        <v>14262200</v>
      </c>
      <c r="J73" s="18">
        <f t="shared" si="52"/>
        <v>61488000</v>
      </c>
      <c r="K73" s="6">
        <f t="shared" si="49"/>
        <v>3935483.3333333335</v>
      </c>
      <c r="L73" s="6">
        <f t="shared" si="49"/>
        <v>1188516.6666666667</v>
      </c>
      <c r="M73" s="6">
        <f t="shared" si="49"/>
        <v>5124000</v>
      </c>
    </row>
    <row r="74" spans="1:13" ht="22.5" customHeight="1">
      <c r="A74" s="25" t="s">
        <v>28</v>
      </c>
      <c r="B74" s="18">
        <v>28870200</v>
      </c>
      <c r="C74" s="18">
        <v>8718800</v>
      </c>
      <c r="D74" s="18">
        <f t="shared" si="50"/>
        <v>37589000</v>
      </c>
      <c r="E74" s="18">
        <v>28870200</v>
      </c>
      <c r="F74" s="18">
        <v>8718800</v>
      </c>
      <c r="G74" s="18">
        <f t="shared" si="51"/>
        <v>37589000</v>
      </c>
      <c r="H74" s="18">
        <v>28870200</v>
      </c>
      <c r="I74" s="18">
        <v>8718800</v>
      </c>
      <c r="J74" s="18">
        <f t="shared" si="52"/>
        <v>37589000</v>
      </c>
      <c r="K74" s="6">
        <f t="shared" si="49"/>
        <v>2405850</v>
      </c>
      <c r="L74" s="6">
        <f t="shared" si="49"/>
        <v>726566.66666666663</v>
      </c>
      <c r="M74" s="6">
        <f t="shared" si="49"/>
        <v>3132416.6666666665</v>
      </c>
    </row>
    <row r="75" spans="1:13" ht="22.5" customHeight="1">
      <c r="A75" s="25" t="s">
        <v>29</v>
      </c>
      <c r="B75" s="18">
        <v>8387100</v>
      </c>
      <c r="C75" s="18">
        <v>2532900</v>
      </c>
      <c r="D75" s="18">
        <f t="shared" si="50"/>
        <v>10920000</v>
      </c>
      <c r="E75" s="18">
        <v>8387100</v>
      </c>
      <c r="F75" s="18">
        <v>2532900</v>
      </c>
      <c r="G75" s="18">
        <f t="shared" si="51"/>
        <v>10920000</v>
      </c>
      <c r="H75" s="18">
        <v>8387100</v>
      </c>
      <c r="I75" s="18">
        <v>2532900</v>
      </c>
      <c r="J75" s="18">
        <f t="shared" si="52"/>
        <v>10920000</v>
      </c>
      <c r="K75" s="6">
        <f t="shared" si="49"/>
        <v>698925</v>
      </c>
      <c r="L75" s="6">
        <f t="shared" si="49"/>
        <v>211075</v>
      </c>
      <c r="M75" s="6">
        <f t="shared" si="49"/>
        <v>910000</v>
      </c>
    </row>
    <row r="76" spans="1:13" ht="22.5" customHeight="1">
      <c r="A76" s="24" t="s">
        <v>30</v>
      </c>
      <c r="B76" s="19">
        <f>SUM(B70:B75)-B73</f>
        <v>266404117</v>
      </c>
      <c r="C76" s="19">
        <f t="shared" ref="C76:D76" si="53">SUM(C70:C75)-C73</f>
        <v>80454083</v>
      </c>
      <c r="D76" s="19">
        <f t="shared" si="53"/>
        <v>346858200</v>
      </c>
      <c r="E76" s="19">
        <f>SUM(E70:E75)-E73</f>
        <v>266404117</v>
      </c>
      <c r="F76" s="19">
        <f t="shared" ref="F76:G76" si="54">SUM(F70:F75)-F73</f>
        <v>80454083</v>
      </c>
      <c r="G76" s="19">
        <f t="shared" si="54"/>
        <v>346858200</v>
      </c>
      <c r="H76" s="19">
        <f>SUM(H70:H75)-H73</f>
        <v>266404117</v>
      </c>
      <c r="I76" s="19">
        <f t="shared" ref="I76:J76" si="55">SUM(I70:I75)-I73</f>
        <v>80454083</v>
      </c>
      <c r="J76" s="19">
        <f t="shared" si="55"/>
        <v>346858200</v>
      </c>
      <c r="K76" s="6">
        <f t="shared" si="49"/>
        <v>22200343.083333332</v>
      </c>
      <c r="L76" s="6">
        <f t="shared" si="49"/>
        <v>6704506.916666667</v>
      </c>
      <c r="M76" s="6">
        <f t="shared" si="49"/>
        <v>28904850</v>
      </c>
    </row>
    <row r="77" spans="1:13" ht="22.5" customHeight="1">
      <c r="A77" s="7"/>
      <c r="B77" s="17">
        <f>B76+B69+B50+B40+B30+B20+B7+B59</f>
        <v>328089705.57999998</v>
      </c>
      <c r="C77" s="17">
        <f t="shared" ref="C77:I77" si="56">C76+C69+C50+C40+C30+C20+C7+C59</f>
        <v>99082994.420000002</v>
      </c>
      <c r="D77" s="17">
        <f t="shared" si="56"/>
        <v>427172700</v>
      </c>
      <c r="E77" s="17">
        <f t="shared" si="56"/>
        <v>328089705.57999998</v>
      </c>
      <c r="F77" s="17">
        <f t="shared" si="56"/>
        <v>99082994.420000002</v>
      </c>
      <c r="G77" s="17">
        <f t="shared" si="56"/>
        <v>427172700</v>
      </c>
      <c r="H77" s="17">
        <f t="shared" si="56"/>
        <v>328089705.57999998</v>
      </c>
      <c r="I77" s="17">
        <f t="shared" si="56"/>
        <v>99082994.420000002</v>
      </c>
      <c r="J77" s="17">
        <f>J76+J69+J50+J40+J30+J20+J7+J59</f>
        <v>427172700</v>
      </c>
      <c r="K77" s="6">
        <f t="shared" si="49"/>
        <v>27340808.798333332</v>
      </c>
      <c r="L77" s="6">
        <f t="shared" si="49"/>
        <v>8256916.2016666671</v>
      </c>
      <c r="M77" s="6">
        <f t="shared" si="49"/>
        <v>35597725</v>
      </c>
    </row>
    <row r="78" spans="1:13" ht="22.5" customHeight="1">
      <c r="A78" s="29" t="s">
        <v>42</v>
      </c>
      <c r="B78" s="30"/>
      <c r="C78" s="30"/>
      <c r="D78" s="30"/>
      <c r="E78" s="30"/>
      <c r="F78" s="30"/>
      <c r="G78" s="30"/>
      <c r="H78" s="30"/>
      <c r="I78" s="30"/>
      <c r="J78" s="30"/>
      <c r="K78" s="31"/>
      <c r="L78" s="31"/>
      <c r="M78" s="31"/>
    </row>
    <row r="79" spans="1:13" ht="22.5" customHeight="1">
      <c r="A79" s="28" t="s">
        <v>44</v>
      </c>
      <c r="B79" s="17">
        <v>17527870</v>
      </c>
      <c r="C79" s="17"/>
      <c r="D79" s="17"/>
      <c r="E79" s="17"/>
      <c r="F79" s="17"/>
      <c r="G79" s="17"/>
      <c r="H79" s="17"/>
      <c r="I79" s="17"/>
      <c r="J79" s="17"/>
      <c r="K79" s="6"/>
      <c r="L79" s="6"/>
      <c r="M79" s="6"/>
    </row>
    <row r="80" spans="1:13" ht="22.5" customHeight="1">
      <c r="A80" s="28" t="s">
        <v>43</v>
      </c>
      <c r="B80" s="17">
        <f>30360470-17527870</f>
        <v>12832600</v>
      </c>
      <c r="C80" s="17"/>
      <c r="D80" s="17"/>
      <c r="E80" s="17"/>
      <c r="F80" s="17"/>
      <c r="G80" s="17"/>
      <c r="H80" s="17"/>
      <c r="I80" s="17"/>
      <c r="J80" s="17"/>
      <c r="K80" s="6"/>
      <c r="L80" s="6"/>
      <c r="M80" s="6"/>
    </row>
    <row r="81" spans="1:13" ht="22.5" customHeight="1">
      <c r="A81" s="28"/>
      <c r="B81" s="17"/>
      <c r="C81" s="17"/>
      <c r="D81" s="17"/>
      <c r="E81" s="17"/>
      <c r="F81" s="17"/>
      <c r="G81" s="17"/>
      <c r="H81" s="17"/>
      <c r="I81" s="17"/>
      <c r="J81" s="17"/>
      <c r="K81" s="6"/>
      <c r="L81" s="6"/>
      <c r="M81" s="6"/>
    </row>
    <row r="82" spans="1:13" ht="22.5" customHeight="1">
      <c r="A82" s="28"/>
      <c r="B82" s="17"/>
      <c r="C82" s="17"/>
      <c r="D82" s="17"/>
      <c r="E82" s="17"/>
      <c r="F82" s="17"/>
      <c r="G82" s="17"/>
      <c r="H82" s="17"/>
      <c r="I82" s="17"/>
      <c r="J82" s="17"/>
      <c r="K82" s="6"/>
      <c r="L82" s="6"/>
      <c r="M82" s="6"/>
    </row>
    <row r="83" spans="1:13" ht="22.5" customHeight="1">
      <c r="A83" s="28"/>
      <c r="B83" s="17"/>
      <c r="C83" s="17"/>
      <c r="D83" s="17"/>
      <c r="E83" s="17"/>
      <c r="F83" s="17"/>
      <c r="G83" s="17"/>
      <c r="H83" s="17"/>
      <c r="I83" s="17"/>
      <c r="J83" s="17"/>
      <c r="K83" s="6"/>
      <c r="L83" s="6"/>
      <c r="M83" s="6"/>
    </row>
    <row r="84" spans="1:13" ht="22.5" customHeight="1">
      <c r="A84" s="28"/>
      <c r="B84" s="17"/>
      <c r="C84" s="17"/>
      <c r="D84" s="17"/>
      <c r="E84" s="17"/>
      <c r="F84" s="17"/>
      <c r="G84" s="17"/>
      <c r="H84" s="17"/>
      <c r="I84" s="17"/>
      <c r="J84" s="17"/>
      <c r="K84" s="6"/>
      <c r="L84" s="6"/>
      <c r="M84" s="6"/>
    </row>
    <row r="85" spans="1:13" ht="22.5" customHeight="1">
      <c r="A85" s="28"/>
      <c r="B85" s="17"/>
      <c r="C85" s="17"/>
      <c r="D85" s="17"/>
      <c r="E85" s="17"/>
      <c r="F85" s="17"/>
      <c r="G85" s="17"/>
      <c r="H85" s="17"/>
      <c r="I85" s="17"/>
      <c r="J85" s="17"/>
      <c r="K85" s="6"/>
      <c r="L85" s="6"/>
      <c r="M85" s="6"/>
    </row>
    <row r="86" spans="1:13" ht="22.5" customHeight="1">
      <c r="A86" s="28"/>
      <c r="B86" s="17"/>
      <c r="C86" s="17"/>
      <c r="D86" s="17"/>
      <c r="E86" s="17"/>
      <c r="F86" s="17"/>
      <c r="G86" s="17"/>
      <c r="H86" s="17"/>
      <c r="I86" s="17"/>
      <c r="J86" s="17"/>
      <c r="K86" s="6"/>
      <c r="L86" s="6"/>
      <c r="M86" s="6"/>
    </row>
    <row r="87" spans="1:13" ht="22.5" customHeight="1">
      <c r="A87" s="7"/>
      <c r="B87" s="17"/>
      <c r="C87" s="17"/>
      <c r="D87" s="17"/>
      <c r="E87" s="17"/>
      <c r="F87" s="17"/>
      <c r="G87" s="17"/>
      <c r="H87" s="17"/>
      <c r="I87" s="17"/>
      <c r="J87" s="17"/>
      <c r="K87" s="6"/>
      <c r="L87" s="6"/>
      <c r="M87" s="6"/>
    </row>
    <row r="88" spans="1:13" ht="22.5" customHeight="1">
      <c r="A88" s="1" t="s">
        <v>39</v>
      </c>
      <c r="B88" s="1"/>
      <c r="C88" s="1"/>
      <c r="D88" s="1"/>
      <c r="E88" s="1"/>
      <c r="F88" s="1"/>
      <c r="G88" s="1"/>
      <c r="H88" s="1"/>
      <c r="I88" s="1"/>
      <c r="J88" s="1"/>
    </row>
    <row r="89" spans="1:13" ht="22.5" customHeight="1">
      <c r="A89" s="1"/>
      <c r="B89" s="1"/>
      <c r="C89" s="1"/>
      <c r="D89" s="14"/>
      <c r="E89" s="1"/>
      <c r="F89" s="1"/>
      <c r="G89" s="14"/>
      <c r="H89" s="1"/>
      <c r="I89" s="1"/>
      <c r="J89" s="14"/>
    </row>
    <row r="90" spans="1:13" ht="22.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3" ht="22.5" customHeight="1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3" ht="22.5" customHeight="1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3" ht="22.5" customHeight="1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3" ht="22.5" customHeight="1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3" ht="22.5" customHeight="1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3" ht="22.5" customHeight="1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22.5" customHeight="1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22.5" customHeight="1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22.5" customHeight="1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</sheetData>
  <mergeCells count="4">
    <mergeCell ref="B2:D2"/>
    <mergeCell ref="E2:G2"/>
    <mergeCell ref="H2:J2"/>
    <mergeCell ref="K2:M2"/>
  </mergeCells>
  <pageMargins left="0.23622047244094491" right="0.15748031496062992" top="0.19685039370078741" bottom="0.19685039370078741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41"/>
  <sheetViews>
    <sheetView workbookViewId="0">
      <pane xSplit="1" ySplit="4" topLeftCell="B65" activePane="bottomRight" state="frozen"/>
      <selection pane="topRight" activeCell="B1" sqref="B1"/>
      <selection pane="bottomLeft" activeCell="A6" sqref="A6"/>
      <selection pane="bottomRight" activeCell="A73" sqref="A73"/>
    </sheetView>
  </sheetViews>
  <sheetFormatPr defaultRowHeight="15"/>
  <cols>
    <col min="1" max="1" width="17.42578125" customWidth="1"/>
    <col min="2" max="2" width="14.140625" customWidth="1"/>
    <col min="3" max="3" width="13.85546875" customWidth="1"/>
    <col min="4" max="4" width="13.42578125" customWidth="1"/>
    <col min="5" max="5" width="12.5703125" customWidth="1"/>
    <col min="6" max="6" width="11.140625" customWidth="1"/>
    <col min="7" max="7" width="13.7109375" customWidth="1"/>
  </cols>
  <sheetData>
    <row r="2" spans="1:7" ht="29.25" customHeight="1">
      <c r="A2" s="1"/>
      <c r="B2" s="36">
        <v>2017</v>
      </c>
      <c r="C2" s="36"/>
      <c r="D2" s="36"/>
      <c r="E2" s="37" t="s">
        <v>41</v>
      </c>
      <c r="F2" s="38"/>
      <c r="G2" s="38"/>
    </row>
    <row r="3" spans="1:7">
      <c r="A3" s="1"/>
      <c r="B3" s="1">
        <v>211</v>
      </c>
      <c r="C3" s="1">
        <v>213</v>
      </c>
      <c r="D3" s="1" t="s">
        <v>0</v>
      </c>
      <c r="E3" s="1">
        <v>211</v>
      </c>
      <c r="F3" s="1">
        <v>213</v>
      </c>
      <c r="G3" s="1" t="s">
        <v>0</v>
      </c>
    </row>
    <row r="4" spans="1:7" ht="22.5" customHeight="1">
      <c r="A4" s="23" t="s">
        <v>31</v>
      </c>
      <c r="B4" s="17">
        <v>13050600</v>
      </c>
      <c r="C4" s="17">
        <v>3941248</v>
      </c>
      <c r="D4" s="17">
        <f>B4+C4</f>
        <v>16991848</v>
      </c>
      <c r="E4" s="6">
        <f>B4/12</f>
        <v>1087550</v>
      </c>
      <c r="F4" s="6">
        <f t="shared" ref="F4:G4" si="0">C4/12</f>
        <v>328437.33333333331</v>
      </c>
      <c r="G4" s="6">
        <f t="shared" si="0"/>
        <v>1415987.3333333333</v>
      </c>
    </row>
    <row r="5" spans="1:7" ht="22.5" customHeight="1">
      <c r="A5" s="23" t="s">
        <v>32</v>
      </c>
      <c r="B5" s="18">
        <v>6748970</v>
      </c>
      <c r="C5" s="18">
        <v>2038190</v>
      </c>
      <c r="D5" s="17">
        <f t="shared" ref="D5:D19" si="1">B5+C5</f>
        <v>8787160</v>
      </c>
      <c r="E5" s="6">
        <f t="shared" ref="E5:E68" si="2">B5/12</f>
        <v>562414.16666666663</v>
      </c>
      <c r="F5" s="6">
        <f t="shared" ref="F5:F68" si="3">C5/12</f>
        <v>169849.16666666666</v>
      </c>
      <c r="G5" s="6">
        <f t="shared" ref="G5:G68" si="4">D5/12</f>
        <v>732263.33333333337</v>
      </c>
    </row>
    <row r="6" spans="1:7" ht="22.5" customHeight="1">
      <c r="A6" s="23" t="s">
        <v>1</v>
      </c>
      <c r="B6" s="17">
        <v>10560900</v>
      </c>
      <c r="C6" s="17">
        <v>3189392</v>
      </c>
      <c r="D6" s="17">
        <f t="shared" si="1"/>
        <v>13750292</v>
      </c>
      <c r="E6" s="6">
        <f t="shared" si="2"/>
        <v>880075</v>
      </c>
      <c r="F6" s="6">
        <f t="shared" si="3"/>
        <v>265782.66666666669</v>
      </c>
      <c r="G6" s="6">
        <f t="shared" si="4"/>
        <v>1145857.6666666667</v>
      </c>
    </row>
    <row r="7" spans="1:7" ht="22.5" customHeight="1">
      <c r="A7" s="24" t="s">
        <v>35</v>
      </c>
      <c r="B7" s="19">
        <f>SUM(B4:B6)</f>
        <v>30360470</v>
      </c>
      <c r="C7" s="19">
        <f>SUM(C4:C6)</f>
        <v>9168830</v>
      </c>
      <c r="D7" s="19">
        <f>B7+C7</f>
        <v>39529300</v>
      </c>
      <c r="E7" s="6">
        <f t="shared" si="2"/>
        <v>2530039.1666666665</v>
      </c>
      <c r="F7" s="6">
        <f t="shared" si="3"/>
        <v>764069.16666666663</v>
      </c>
      <c r="G7" s="6">
        <f t="shared" si="4"/>
        <v>3294108.3333333335</v>
      </c>
    </row>
    <row r="8" spans="1:7" ht="22.5" customHeight="1">
      <c r="A8" s="23" t="s">
        <v>3</v>
      </c>
      <c r="B8" s="17">
        <v>2919500</v>
      </c>
      <c r="C8" s="17">
        <v>881700</v>
      </c>
      <c r="D8" s="35">
        <f t="shared" si="1"/>
        <v>3801200</v>
      </c>
      <c r="E8" s="6">
        <f t="shared" si="2"/>
        <v>243291.66666666666</v>
      </c>
      <c r="F8" s="6">
        <f t="shared" si="3"/>
        <v>73475</v>
      </c>
      <c r="G8" s="6">
        <f t="shared" si="4"/>
        <v>316766.66666666669</v>
      </c>
    </row>
    <row r="9" spans="1:7" ht="22.5" customHeight="1">
      <c r="A9" s="25" t="s">
        <v>2</v>
      </c>
      <c r="B9" s="18">
        <v>2126900</v>
      </c>
      <c r="C9" s="18">
        <v>642300</v>
      </c>
      <c r="D9" s="35">
        <f t="shared" si="1"/>
        <v>2769200</v>
      </c>
      <c r="E9" s="6">
        <f t="shared" si="2"/>
        <v>177241.66666666666</v>
      </c>
      <c r="F9" s="6">
        <f t="shared" si="3"/>
        <v>53525</v>
      </c>
      <c r="G9" s="6">
        <f t="shared" si="4"/>
        <v>230766.66666666666</v>
      </c>
    </row>
    <row r="10" spans="1:7" ht="22.5" customHeight="1">
      <c r="A10" s="25" t="s">
        <v>4</v>
      </c>
      <c r="B10" s="18">
        <v>1802100</v>
      </c>
      <c r="C10" s="18">
        <v>544200</v>
      </c>
      <c r="D10" s="35">
        <f t="shared" si="1"/>
        <v>2346300</v>
      </c>
      <c r="E10" s="6">
        <f t="shared" si="2"/>
        <v>150175</v>
      </c>
      <c r="F10" s="6">
        <f t="shared" si="3"/>
        <v>45350</v>
      </c>
      <c r="G10" s="6">
        <f t="shared" si="4"/>
        <v>195525</v>
      </c>
    </row>
    <row r="11" spans="1:7" ht="22.5" customHeight="1">
      <c r="A11" s="25" t="s">
        <v>5</v>
      </c>
      <c r="B11" s="18">
        <v>8730200</v>
      </c>
      <c r="C11" s="18">
        <v>2636500</v>
      </c>
      <c r="D11" s="35">
        <f>B11+C11</f>
        <v>11366700</v>
      </c>
      <c r="E11" s="6">
        <f t="shared" si="2"/>
        <v>727516.66666666663</v>
      </c>
      <c r="F11" s="6">
        <f t="shared" si="3"/>
        <v>219708.33333333334</v>
      </c>
      <c r="G11" s="6">
        <f t="shared" si="4"/>
        <v>947225</v>
      </c>
    </row>
    <row r="12" spans="1:7" ht="22.5" customHeight="1">
      <c r="A12" s="25" t="s">
        <v>6</v>
      </c>
      <c r="B12" s="18">
        <v>901300</v>
      </c>
      <c r="C12" s="18">
        <v>272200</v>
      </c>
      <c r="D12" s="35">
        <f t="shared" si="1"/>
        <v>1173500</v>
      </c>
      <c r="E12" s="6">
        <f t="shared" si="2"/>
        <v>75108.333333333328</v>
      </c>
      <c r="F12" s="6">
        <f t="shared" si="3"/>
        <v>22683.333333333332</v>
      </c>
      <c r="G12" s="6">
        <f t="shared" si="4"/>
        <v>97791.666666666672</v>
      </c>
    </row>
    <row r="13" spans="1:7" ht="22.5" customHeight="1">
      <c r="A13" s="25" t="s">
        <v>7</v>
      </c>
      <c r="B13" s="18">
        <v>1836700</v>
      </c>
      <c r="C13" s="18">
        <v>554700</v>
      </c>
      <c r="D13" s="35">
        <f t="shared" si="1"/>
        <v>2391400</v>
      </c>
      <c r="E13" s="6">
        <f t="shared" si="2"/>
        <v>153058.33333333334</v>
      </c>
      <c r="F13" s="6">
        <f t="shared" si="3"/>
        <v>46225</v>
      </c>
      <c r="G13" s="6">
        <f t="shared" si="4"/>
        <v>199283.33333333334</v>
      </c>
    </row>
    <row r="14" spans="1:7" ht="22.5" customHeight="1">
      <c r="A14" s="25" t="s">
        <v>8</v>
      </c>
      <c r="B14" s="18">
        <v>849200</v>
      </c>
      <c r="C14" s="18">
        <v>256500</v>
      </c>
      <c r="D14" s="35">
        <f t="shared" si="1"/>
        <v>1105700</v>
      </c>
      <c r="E14" s="6">
        <f t="shared" si="2"/>
        <v>70766.666666666672</v>
      </c>
      <c r="F14" s="6">
        <f t="shared" si="3"/>
        <v>21375</v>
      </c>
      <c r="G14" s="6">
        <f t="shared" si="4"/>
        <v>92141.666666666672</v>
      </c>
    </row>
    <row r="15" spans="1:7" ht="22.5" customHeight="1">
      <c r="A15" s="25" t="s">
        <v>38</v>
      </c>
      <c r="B15" s="18">
        <v>260600</v>
      </c>
      <c r="C15" s="18">
        <v>78700</v>
      </c>
      <c r="D15" s="35">
        <f t="shared" si="1"/>
        <v>339300</v>
      </c>
      <c r="E15" s="6">
        <f t="shared" si="2"/>
        <v>21716.666666666668</v>
      </c>
      <c r="F15" s="6">
        <f t="shared" si="3"/>
        <v>6558.333333333333</v>
      </c>
      <c r="G15" s="6">
        <f t="shared" si="4"/>
        <v>28275</v>
      </c>
    </row>
    <row r="16" spans="1:7" ht="22.5" customHeight="1">
      <c r="A16" s="25" t="s">
        <v>9</v>
      </c>
      <c r="B16" s="18">
        <v>799700</v>
      </c>
      <c r="C16" s="18">
        <v>241500</v>
      </c>
      <c r="D16" s="35">
        <f t="shared" si="1"/>
        <v>1041200</v>
      </c>
      <c r="E16" s="6">
        <f t="shared" si="2"/>
        <v>66641.666666666672</v>
      </c>
      <c r="F16" s="6">
        <f t="shared" si="3"/>
        <v>20125</v>
      </c>
      <c r="G16" s="6">
        <f t="shared" si="4"/>
        <v>86766.666666666672</v>
      </c>
    </row>
    <row r="17" spans="1:7" ht="22.5" customHeight="1">
      <c r="A17" s="25" t="s">
        <v>37</v>
      </c>
      <c r="B17" s="18">
        <v>250000</v>
      </c>
      <c r="C17" s="18">
        <v>75500</v>
      </c>
      <c r="D17" s="35">
        <f t="shared" si="1"/>
        <v>325500</v>
      </c>
      <c r="E17" s="6">
        <f t="shared" si="2"/>
        <v>20833.333333333332</v>
      </c>
      <c r="F17" s="6">
        <f t="shared" si="3"/>
        <v>6291.666666666667</v>
      </c>
      <c r="G17" s="6">
        <f t="shared" si="4"/>
        <v>27125</v>
      </c>
    </row>
    <row r="18" spans="1:7" ht="22.5" customHeight="1">
      <c r="A18" s="25" t="s">
        <v>10</v>
      </c>
      <c r="B18" s="18">
        <v>441300</v>
      </c>
      <c r="C18" s="18">
        <v>133300</v>
      </c>
      <c r="D18" s="35">
        <f t="shared" si="1"/>
        <v>574600</v>
      </c>
      <c r="E18" s="6">
        <f t="shared" si="2"/>
        <v>36775</v>
      </c>
      <c r="F18" s="6">
        <f t="shared" si="3"/>
        <v>11108.333333333334</v>
      </c>
      <c r="G18" s="6">
        <f t="shared" si="4"/>
        <v>47883.333333333336</v>
      </c>
    </row>
    <row r="19" spans="1:7" ht="22.5" customHeight="1">
      <c r="A19" s="25" t="s">
        <v>11</v>
      </c>
      <c r="B19" s="18">
        <v>782200</v>
      </c>
      <c r="C19" s="18">
        <v>236200</v>
      </c>
      <c r="D19" s="35">
        <f t="shared" si="1"/>
        <v>1018400</v>
      </c>
      <c r="E19" s="6">
        <f t="shared" si="2"/>
        <v>65183.333333333336</v>
      </c>
      <c r="F19" s="6">
        <f t="shared" si="3"/>
        <v>19683.333333333332</v>
      </c>
      <c r="G19" s="6">
        <f t="shared" si="4"/>
        <v>84866.666666666672</v>
      </c>
    </row>
    <row r="20" spans="1:7" ht="22.5" customHeight="1">
      <c r="A20" s="24" t="s">
        <v>13</v>
      </c>
      <c r="B20" s="19">
        <f>B8+B9+B10+B11+B12+B13+B14+B16+B18+B19+B15+B17</f>
        <v>21699700</v>
      </c>
      <c r="C20" s="19">
        <f t="shared" ref="C20" si="5">C8+C9+C10+C11+C12+C13+C14+C16+C18+C19+C15+C17</f>
        <v>6553300</v>
      </c>
      <c r="D20" s="19">
        <f>D8+D9+D10+D11+D12+D13+D14+D16+D18+D19+D15+D17</f>
        <v>28253000</v>
      </c>
      <c r="E20" s="6">
        <f t="shared" si="2"/>
        <v>1808308.3333333333</v>
      </c>
      <c r="F20" s="6">
        <f t="shared" si="3"/>
        <v>546108.33333333337</v>
      </c>
      <c r="G20" s="6">
        <f t="shared" si="4"/>
        <v>2354416.6666666665</v>
      </c>
    </row>
    <row r="21" spans="1:7" ht="22.5" customHeight="1">
      <c r="A21" s="25" t="s">
        <v>14</v>
      </c>
      <c r="B21" s="18">
        <f>454260</f>
        <v>454260</v>
      </c>
      <c r="C21" s="18">
        <v>137187</v>
      </c>
      <c r="D21" s="18">
        <f>B21+C21</f>
        <v>591447</v>
      </c>
      <c r="E21" s="6">
        <f t="shared" si="2"/>
        <v>37855</v>
      </c>
      <c r="F21" s="6">
        <f t="shared" si="3"/>
        <v>11432.25</v>
      </c>
      <c r="G21" s="6">
        <f t="shared" si="4"/>
        <v>49287.25</v>
      </c>
    </row>
    <row r="22" spans="1:7" ht="22.5" customHeight="1">
      <c r="A22" s="25" t="s">
        <v>15</v>
      </c>
      <c r="B22" s="18">
        <v>454260</v>
      </c>
      <c r="C22" s="18">
        <v>137187</v>
      </c>
      <c r="D22" s="18">
        <f t="shared" ref="D22:D29" si="6">B22+C22</f>
        <v>591447</v>
      </c>
      <c r="E22" s="6">
        <f t="shared" si="2"/>
        <v>37855</v>
      </c>
      <c r="F22" s="6">
        <f t="shared" si="3"/>
        <v>11432.25</v>
      </c>
      <c r="G22" s="6">
        <f t="shared" si="4"/>
        <v>49287.25</v>
      </c>
    </row>
    <row r="23" spans="1:7" ht="22.5" customHeight="1">
      <c r="A23" s="25" t="s">
        <v>16</v>
      </c>
      <c r="B23" s="18"/>
      <c r="C23" s="18">
        <v>0</v>
      </c>
      <c r="D23" s="18">
        <f t="shared" si="6"/>
        <v>0</v>
      </c>
      <c r="E23" s="6">
        <f t="shared" si="2"/>
        <v>0</v>
      </c>
      <c r="F23" s="6">
        <f t="shared" si="3"/>
        <v>0</v>
      </c>
      <c r="G23" s="6">
        <f t="shared" si="4"/>
        <v>0</v>
      </c>
    </row>
    <row r="24" spans="1:7" ht="22.5" customHeight="1">
      <c r="A24" s="25" t="s">
        <v>17</v>
      </c>
      <c r="B24" s="18">
        <f>454300</f>
        <v>454300</v>
      </c>
      <c r="C24" s="18">
        <v>137198</v>
      </c>
      <c r="D24" s="18">
        <f t="shared" si="6"/>
        <v>591498</v>
      </c>
      <c r="E24" s="6">
        <f t="shared" si="2"/>
        <v>37858.333333333336</v>
      </c>
      <c r="F24" s="6">
        <f t="shared" si="3"/>
        <v>11433.166666666666</v>
      </c>
      <c r="G24" s="6">
        <f t="shared" si="4"/>
        <v>49291.5</v>
      </c>
    </row>
    <row r="25" spans="1:7" ht="22.5" customHeight="1">
      <c r="A25" s="25" t="s">
        <v>18</v>
      </c>
      <c r="B25" s="18"/>
      <c r="C25" s="18">
        <v>0</v>
      </c>
      <c r="D25" s="18">
        <f t="shared" si="6"/>
        <v>0</v>
      </c>
      <c r="E25" s="6">
        <f t="shared" si="2"/>
        <v>0</v>
      </c>
      <c r="F25" s="6">
        <f t="shared" si="3"/>
        <v>0</v>
      </c>
      <c r="G25" s="6">
        <f t="shared" si="4"/>
        <v>0</v>
      </c>
    </row>
    <row r="26" spans="1:7" ht="22.5" customHeight="1">
      <c r="A26" s="25" t="s">
        <v>19</v>
      </c>
      <c r="B26" s="18"/>
      <c r="C26" s="18">
        <v>0</v>
      </c>
      <c r="D26" s="18">
        <f t="shared" si="6"/>
        <v>0</v>
      </c>
      <c r="E26" s="6">
        <f t="shared" si="2"/>
        <v>0</v>
      </c>
      <c r="F26" s="6">
        <f t="shared" si="3"/>
        <v>0</v>
      </c>
      <c r="G26" s="6">
        <f t="shared" si="4"/>
        <v>0</v>
      </c>
    </row>
    <row r="27" spans="1:7" ht="22.5" customHeight="1">
      <c r="A27" s="25" t="s">
        <v>20</v>
      </c>
      <c r="B27" s="18"/>
      <c r="C27" s="18">
        <v>0</v>
      </c>
      <c r="D27" s="18">
        <f t="shared" si="6"/>
        <v>0</v>
      </c>
      <c r="E27" s="6">
        <f t="shared" si="2"/>
        <v>0</v>
      </c>
      <c r="F27" s="6">
        <f t="shared" si="3"/>
        <v>0</v>
      </c>
      <c r="G27" s="6">
        <f t="shared" si="4"/>
        <v>0</v>
      </c>
    </row>
    <row r="28" spans="1:7" ht="22.5" customHeight="1">
      <c r="A28" s="25" t="s">
        <v>21</v>
      </c>
      <c r="B28" s="18"/>
      <c r="C28" s="18">
        <v>0</v>
      </c>
      <c r="D28" s="18">
        <f t="shared" si="6"/>
        <v>0</v>
      </c>
      <c r="E28" s="6">
        <f t="shared" si="2"/>
        <v>0</v>
      </c>
      <c r="F28" s="6">
        <f t="shared" si="3"/>
        <v>0</v>
      </c>
      <c r="G28" s="6">
        <f t="shared" si="4"/>
        <v>0</v>
      </c>
    </row>
    <row r="29" spans="1:7" ht="22.5" customHeight="1">
      <c r="A29" s="25" t="s">
        <v>22</v>
      </c>
      <c r="B29" s="18">
        <f>469893</f>
        <v>469893</v>
      </c>
      <c r="C29" s="18">
        <v>141907</v>
      </c>
      <c r="D29" s="18">
        <f t="shared" si="6"/>
        <v>611800</v>
      </c>
      <c r="E29" s="6">
        <f t="shared" si="2"/>
        <v>39157.75</v>
      </c>
      <c r="F29" s="6">
        <f t="shared" si="3"/>
        <v>11825.583333333334</v>
      </c>
      <c r="G29" s="6">
        <f t="shared" si="4"/>
        <v>50983.333333333336</v>
      </c>
    </row>
    <row r="30" spans="1:7" ht="22.5" customHeight="1">
      <c r="A30" s="24" t="s">
        <v>24</v>
      </c>
      <c r="B30" s="19">
        <f t="shared" ref="B30:D30" si="7">SUM(B21:B29)</f>
        <v>1832713</v>
      </c>
      <c r="C30" s="19">
        <f t="shared" si="7"/>
        <v>553479</v>
      </c>
      <c r="D30" s="19">
        <f t="shared" si="7"/>
        <v>2386192</v>
      </c>
      <c r="E30" s="6">
        <f>B30/12</f>
        <v>152726.08333333334</v>
      </c>
      <c r="F30" s="6">
        <f t="shared" si="3"/>
        <v>46123.25</v>
      </c>
      <c r="G30" s="6">
        <f t="shared" si="4"/>
        <v>198849.33333333334</v>
      </c>
    </row>
    <row r="31" spans="1:7" ht="22.5" customHeight="1">
      <c r="A31" s="25" t="s">
        <v>14</v>
      </c>
      <c r="B31" s="18">
        <v>398000</v>
      </c>
      <c r="C31" s="18">
        <v>120200</v>
      </c>
      <c r="D31" s="18">
        <f>B31+C31</f>
        <v>518200</v>
      </c>
      <c r="E31" s="6">
        <f t="shared" si="2"/>
        <v>33166.666666666664</v>
      </c>
      <c r="F31" s="6">
        <f t="shared" si="3"/>
        <v>10016.666666666666</v>
      </c>
      <c r="G31" s="6">
        <f t="shared" si="4"/>
        <v>43183.333333333336</v>
      </c>
    </row>
    <row r="32" spans="1:7" ht="22.5" customHeight="1">
      <c r="A32" s="25" t="s">
        <v>15</v>
      </c>
      <c r="B32" s="18">
        <f>417500</f>
        <v>417500</v>
      </c>
      <c r="C32" s="18">
        <f t="shared" ref="C32:C39" si="8">B32*30.2%</f>
        <v>126085</v>
      </c>
      <c r="D32" s="18">
        <f t="shared" ref="D32:D39" si="9">B32+C32</f>
        <v>543585</v>
      </c>
      <c r="E32" s="6">
        <f t="shared" si="2"/>
        <v>34791.666666666664</v>
      </c>
      <c r="F32" s="6">
        <f t="shared" si="3"/>
        <v>10507.083333333334</v>
      </c>
      <c r="G32" s="6">
        <f t="shared" si="4"/>
        <v>45298.75</v>
      </c>
    </row>
    <row r="33" spans="1:7" ht="22.5" customHeight="1">
      <c r="A33" s="25" t="s">
        <v>16</v>
      </c>
      <c r="B33" s="18">
        <v>398000</v>
      </c>
      <c r="C33" s="18">
        <v>120200</v>
      </c>
      <c r="D33" s="18">
        <f t="shared" si="9"/>
        <v>518200</v>
      </c>
      <c r="E33" s="6">
        <f t="shared" si="2"/>
        <v>33166.666666666664</v>
      </c>
      <c r="F33" s="6">
        <f t="shared" si="3"/>
        <v>10016.666666666666</v>
      </c>
      <c r="G33" s="6">
        <f t="shared" si="4"/>
        <v>43183.333333333336</v>
      </c>
    </row>
    <row r="34" spans="1:7" ht="22.5" customHeight="1">
      <c r="A34" s="25" t="s">
        <v>17</v>
      </c>
      <c r="B34" s="18">
        <v>433200</v>
      </c>
      <c r="C34" s="18">
        <v>130800</v>
      </c>
      <c r="D34" s="18">
        <f t="shared" si="9"/>
        <v>564000</v>
      </c>
      <c r="E34" s="6">
        <f t="shared" si="2"/>
        <v>36100</v>
      </c>
      <c r="F34" s="6">
        <f t="shared" si="3"/>
        <v>10900</v>
      </c>
      <c r="G34" s="6">
        <f t="shared" si="4"/>
        <v>47000</v>
      </c>
    </row>
    <row r="35" spans="1:7" ht="22.5" customHeight="1">
      <c r="A35" s="25" t="s">
        <v>18</v>
      </c>
      <c r="B35" s="18">
        <f>396250</f>
        <v>396250</v>
      </c>
      <c r="C35" s="18">
        <v>119670</v>
      </c>
      <c r="D35" s="18">
        <f t="shared" si="9"/>
        <v>515920</v>
      </c>
      <c r="E35" s="6">
        <f t="shared" si="2"/>
        <v>33020.833333333336</v>
      </c>
      <c r="F35" s="6">
        <f t="shared" si="3"/>
        <v>9972.5</v>
      </c>
      <c r="G35" s="6">
        <f t="shared" si="4"/>
        <v>42993.333333333336</v>
      </c>
    </row>
    <row r="36" spans="1:7" ht="22.5" customHeight="1">
      <c r="A36" s="25" t="s">
        <v>19</v>
      </c>
      <c r="B36" s="18">
        <v>389400</v>
      </c>
      <c r="C36" s="18">
        <v>117600</v>
      </c>
      <c r="D36" s="18">
        <f t="shared" si="9"/>
        <v>507000</v>
      </c>
      <c r="E36" s="6">
        <f t="shared" si="2"/>
        <v>32450</v>
      </c>
      <c r="F36" s="6">
        <f t="shared" si="3"/>
        <v>9800</v>
      </c>
      <c r="G36" s="6">
        <f t="shared" si="4"/>
        <v>42250</v>
      </c>
    </row>
    <row r="37" spans="1:7" ht="22.5" customHeight="1">
      <c r="A37" s="25" t="s">
        <v>20</v>
      </c>
      <c r="B37" s="18">
        <v>399700</v>
      </c>
      <c r="C37" s="18">
        <v>120700</v>
      </c>
      <c r="D37" s="18">
        <f t="shared" si="9"/>
        <v>520400</v>
      </c>
      <c r="E37" s="6">
        <f t="shared" si="2"/>
        <v>33308.333333333336</v>
      </c>
      <c r="F37" s="6">
        <f t="shared" si="3"/>
        <v>10058.333333333334</v>
      </c>
      <c r="G37" s="6">
        <f t="shared" si="4"/>
        <v>43366.666666666664</v>
      </c>
    </row>
    <row r="38" spans="1:7" ht="22.5" customHeight="1">
      <c r="A38" s="25" t="s">
        <v>21</v>
      </c>
      <c r="B38" s="18">
        <v>389400</v>
      </c>
      <c r="C38" s="18">
        <v>117600</v>
      </c>
      <c r="D38" s="18">
        <f t="shared" si="9"/>
        <v>507000</v>
      </c>
      <c r="E38" s="6">
        <f t="shared" si="2"/>
        <v>32450</v>
      </c>
      <c r="F38" s="6">
        <f t="shared" si="3"/>
        <v>9800</v>
      </c>
      <c r="G38" s="6">
        <f t="shared" si="4"/>
        <v>42250</v>
      </c>
    </row>
    <row r="39" spans="1:7" ht="22.5" customHeight="1">
      <c r="A39" s="25" t="s">
        <v>22</v>
      </c>
      <c r="B39" s="18"/>
      <c r="C39" s="18">
        <f t="shared" si="8"/>
        <v>0</v>
      </c>
      <c r="D39" s="18">
        <f t="shared" si="9"/>
        <v>0</v>
      </c>
      <c r="E39" s="6">
        <f t="shared" si="2"/>
        <v>0</v>
      </c>
      <c r="F39" s="6">
        <f t="shared" si="3"/>
        <v>0</v>
      </c>
      <c r="G39" s="6">
        <f t="shared" si="4"/>
        <v>0</v>
      </c>
    </row>
    <row r="40" spans="1:7" ht="22.5" customHeight="1">
      <c r="A40" s="26" t="s">
        <v>23</v>
      </c>
      <c r="B40" s="20">
        <f t="shared" ref="B40:D40" si="10">SUM(B31:B39)</f>
        <v>3221450</v>
      </c>
      <c r="C40" s="20">
        <f t="shared" si="10"/>
        <v>972855</v>
      </c>
      <c r="D40" s="20">
        <f t="shared" si="10"/>
        <v>4194305</v>
      </c>
      <c r="E40" s="6">
        <f t="shared" si="2"/>
        <v>268454.16666666669</v>
      </c>
      <c r="F40" s="6">
        <f t="shared" si="3"/>
        <v>81071.25</v>
      </c>
      <c r="G40" s="6">
        <f t="shared" si="4"/>
        <v>349525.41666666669</v>
      </c>
    </row>
    <row r="41" spans="1:7" ht="22.5" customHeight="1">
      <c r="A41" s="23" t="s">
        <v>14</v>
      </c>
      <c r="B41" s="17">
        <f>464900+366100</f>
        <v>831000</v>
      </c>
      <c r="C41" s="17">
        <f>140400+110600</f>
        <v>251000</v>
      </c>
      <c r="D41" s="17">
        <f>B41+C41</f>
        <v>1082000</v>
      </c>
      <c r="E41" s="6">
        <f t="shared" si="2"/>
        <v>69250</v>
      </c>
      <c r="F41" s="6">
        <f t="shared" si="3"/>
        <v>20916.666666666668</v>
      </c>
      <c r="G41" s="6">
        <f t="shared" si="4"/>
        <v>90166.666666666672</v>
      </c>
    </row>
    <row r="42" spans="1:7" ht="22.5" customHeight="1">
      <c r="A42" s="23" t="s">
        <v>15</v>
      </c>
      <c r="B42" s="17">
        <f>451700+278500</f>
        <v>730200</v>
      </c>
      <c r="C42" s="17">
        <f>136400+84100</f>
        <v>220500</v>
      </c>
      <c r="D42" s="17">
        <f t="shared" ref="D42:D58" si="11">B42+C42</f>
        <v>950700</v>
      </c>
      <c r="E42" s="6">
        <f t="shared" si="2"/>
        <v>60850</v>
      </c>
      <c r="F42" s="6">
        <f t="shared" si="3"/>
        <v>18375</v>
      </c>
      <c r="G42" s="6">
        <f t="shared" si="4"/>
        <v>79225</v>
      </c>
    </row>
    <row r="43" spans="1:7" ht="22.5" customHeight="1">
      <c r="A43" s="23" t="s">
        <v>16</v>
      </c>
      <c r="B43" s="17">
        <f>272300+340400</f>
        <v>612700</v>
      </c>
      <c r="C43" s="17">
        <f>82200+102800</f>
        <v>185000</v>
      </c>
      <c r="D43" s="17">
        <f t="shared" si="11"/>
        <v>797700</v>
      </c>
      <c r="E43" s="6">
        <f t="shared" si="2"/>
        <v>51058.333333333336</v>
      </c>
      <c r="F43" s="6">
        <f t="shared" si="3"/>
        <v>15416.666666666666</v>
      </c>
      <c r="G43" s="6">
        <f t="shared" si="4"/>
        <v>66475</v>
      </c>
    </row>
    <row r="44" spans="1:7" ht="22.5" customHeight="1">
      <c r="A44" s="23" t="s">
        <v>17</v>
      </c>
      <c r="B44" s="17">
        <f>437000+443600</f>
        <v>880600</v>
      </c>
      <c r="C44" s="17">
        <f>132000+134000</f>
        <v>266000</v>
      </c>
      <c r="D44" s="17">
        <f t="shared" si="11"/>
        <v>1146600</v>
      </c>
      <c r="E44" s="6">
        <f t="shared" si="2"/>
        <v>73383.333333333328</v>
      </c>
      <c r="F44" s="6">
        <f t="shared" si="3"/>
        <v>22166.666666666668</v>
      </c>
      <c r="G44" s="6">
        <f t="shared" si="4"/>
        <v>95550</v>
      </c>
    </row>
    <row r="45" spans="1:7" ht="22.5" customHeight="1">
      <c r="A45" s="23" t="s">
        <v>18</v>
      </c>
      <c r="B45" s="17">
        <f>240500+311000</f>
        <v>551500</v>
      </c>
      <c r="C45" s="17">
        <f>72600+93900</f>
        <v>166500</v>
      </c>
      <c r="D45" s="17">
        <f t="shared" si="11"/>
        <v>718000</v>
      </c>
      <c r="E45" s="6">
        <f t="shared" si="2"/>
        <v>45958.333333333336</v>
      </c>
      <c r="F45" s="6">
        <f t="shared" si="3"/>
        <v>13875</v>
      </c>
      <c r="G45" s="6">
        <f t="shared" si="4"/>
        <v>59833.333333333336</v>
      </c>
    </row>
    <row r="46" spans="1:7" ht="22.5" customHeight="1">
      <c r="A46" s="23" t="s">
        <v>19</v>
      </c>
      <c r="B46" s="17">
        <f>250900+351300</f>
        <v>602200</v>
      </c>
      <c r="C46" s="17">
        <f>75800+106100</f>
        <v>181900</v>
      </c>
      <c r="D46" s="17">
        <f t="shared" si="11"/>
        <v>784100</v>
      </c>
      <c r="E46" s="6">
        <f t="shared" si="2"/>
        <v>50183.333333333336</v>
      </c>
      <c r="F46" s="6">
        <f t="shared" si="3"/>
        <v>15158.333333333334</v>
      </c>
      <c r="G46" s="6">
        <f t="shared" si="4"/>
        <v>65341.666666666664</v>
      </c>
    </row>
    <row r="47" spans="1:7" ht="22.5" customHeight="1">
      <c r="A47" s="23" t="s">
        <v>20</v>
      </c>
      <c r="B47" s="17">
        <f>279800+301100</f>
        <v>580900</v>
      </c>
      <c r="C47" s="17">
        <f>84500+90900</f>
        <v>175400</v>
      </c>
      <c r="D47" s="17">
        <f t="shared" si="11"/>
        <v>756300</v>
      </c>
      <c r="E47" s="6">
        <f t="shared" si="2"/>
        <v>48408.333333333336</v>
      </c>
      <c r="F47" s="6">
        <f t="shared" si="3"/>
        <v>14616.666666666666</v>
      </c>
      <c r="G47" s="6">
        <f t="shared" si="4"/>
        <v>63025</v>
      </c>
    </row>
    <row r="48" spans="1:7" ht="22.5" customHeight="1">
      <c r="A48" s="23" t="s">
        <v>21</v>
      </c>
      <c r="B48" s="17">
        <f>285920+455600</f>
        <v>741520</v>
      </c>
      <c r="C48" s="17">
        <f>86300+137600</f>
        <v>223900</v>
      </c>
      <c r="D48" s="17">
        <f t="shared" si="11"/>
        <v>965420</v>
      </c>
      <c r="E48" s="6">
        <f t="shared" si="2"/>
        <v>61793.333333333336</v>
      </c>
      <c r="F48" s="6">
        <f t="shared" si="3"/>
        <v>18658.333333333332</v>
      </c>
      <c r="G48" s="6">
        <f t="shared" si="4"/>
        <v>80451.666666666672</v>
      </c>
    </row>
    <row r="49" spans="1:7" ht="22.5" customHeight="1">
      <c r="A49" s="23" t="s">
        <v>22</v>
      </c>
      <c r="B49" s="17"/>
      <c r="C49" s="17">
        <f t="shared" ref="C49" si="12">B49*30.2%</f>
        <v>0</v>
      </c>
      <c r="D49" s="17">
        <f t="shared" si="11"/>
        <v>0</v>
      </c>
      <c r="E49" s="6">
        <f t="shared" si="2"/>
        <v>0</v>
      </c>
      <c r="F49" s="6">
        <f t="shared" si="3"/>
        <v>0</v>
      </c>
      <c r="G49" s="6">
        <f t="shared" si="4"/>
        <v>0</v>
      </c>
    </row>
    <row r="50" spans="1:7" ht="22.5" customHeight="1">
      <c r="A50" s="26" t="s">
        <v>25</v>
      </c>
      <c r="B50" s="20">
        <f>SUM(B41:B49)</f>
        <v>5530620</v>
      </c>
      <c r="C50" s="20">
        <f t="shared" ref="C50:D50" si="13">SUM(C41:C49)</f>
        <v>1670200</v>
      </c>
      <c r="D50" s="20">
        <f t="shared" si="13"/>
        <v>7200820</v>
      </c>
      <c r="E50" s="6">
        <f t="shared" si="2"/>
        <v>460885</v>
      </c>
      <c r="F50" s="6">
        <f t="shared" si="3"/>
        <v>139183.33333333334</v>
      </c>
      <c r="G50" s="6">
        <f t="shared" si="4"/>
        <v>600068.33333333337</v>
      </c>
    </row>
    <row r="51" spans="1:7" s="16" customFormat="1" ht="22.5" customHeight="1">
      <c r="A51" s="23" t="s">
        <v>14</v>
      </c>
      <c r="B51" s="21">
        <v>57450.080000000002</v>
      </c>
      <c r="C51" s="21">
        <v>17349.919999999998</v>
      </c>
      <c r="D51" s="17">
        <f t="shared" si="11"/>
        <v>74800</v>
      </c>
      <c r="E51" s="6">
        <f t="shared" si="2"/>
        <v>4787.5066666666671</v>
      </c>
      <c r="F51" s="6">
        <f t="shared" si="3"/>
        <v>1445.8266666666666</v>
      </c>
      <c r="G51" s="6">
        <f t="shared" si="4"/>
        <v>6233.333333333333</v>
      </c>
    </row>
    <row r="52" spans="1:7" ht="22.5" customHeight="1">
      <c r="A52" s="23" t="s">
        <v>15</v>
      </c>
      <c r="B52" s="21">
        <v>71812.59</v>
      </c>
      <c r="C52" s="21">
        <v>21687.41</v>
      </c>
      <c r="D52" s="17">
        <f t="shared" si="11"/>
        <v>93500</v>
      </c>
      <c r="E52" s="6">
        <f t="shared" si="2"/>
        <v>5984.3824999999997</v>
      </c>
      <c r="F52" s="6">
        <f t="shared" si="3"/>
        <v>1807.2841666666666</v>
      </c>
      <c r="G52" s="6">
        <f t="shared" si="4"/>
        <v>7791.666666666667</v>
      </c>
    </row>
    <row r="53" spans="1:7" ht="22.5" customHeight="1">
      <c r="A53" s="23" t="s">
        <v>16</v>
      </c>
      <c r="B53" s="21">
        <v>57450.080000000002</v>
      </c>
      <c r="C53" s="21">
        <v>17349.919999999998</v>
      </c>
      <c r="D53" s="17">
        <f t="shared" si="11"/>
        <v>74800</v>
      </c>
      <c r="E53" s="6">
        <f t="shared" si="2"/>
        <v>4787.5066666666671</v>
      </c>
      <c r="F53" s="6">
        <f t="shared" si="3"/>
        <v>1445.8266666666666</v>
      </c>
      <c r="G53" s="6">
        <f t="shared" si="4"/>
        <v>6233.333333333333</v>
      </c>
    </row>
    <row r="54" spans="1:7" ht="22.5" customHeight="1">
      <c r="A54" s="23" t="s">
        <v>17</v>
      </c>
      <c r="B54" s="21">
        <v>71812.59</v>
      </c>
      <c r="C54" s="21">
        <v>21687.41</v>
      </c>
      <c r="D54" s="17">
        <f t="shared" si="11"/>
        <v>93500</v>
      </c>
      <c r="E54" s="6">
        <f t="shared" si="2"/>
        <v>5984.3824999999997</v>
      </c>
      <c r="F54" s="6">
        <f t="shared" si="3"/>
        <v>1807.2841666666666</v>
      </c>
      <c r="G54" s="6">
        <f t="shared" si="4"/>
        <v>7791.666666666667</v>
      </c>
    </row>
    <row r="55" spans="1:7" ht="22.5" customHeight="1">
      <c r="A55" s="23" t="s">
        <v>18</v>
      </c>
      <c r="B55" s="21">
        <v>43087.56</v>
      </c>
      <c r="C55" s="21">
        <v>13012.44</v>
      </c>
      <c r="D55" s="17">
        <f t="shared" si="11"/>
        <v>56100</v>
      </c>
      <c r="E55" s="6">
        <f t="shared" si="2"/>
        <v>3590.6299999999997</v>
      </c>
      <c r="F55" s="6">
        <f t="shared" si="3"/>
        <v>1084.3700000000001</v>
      </c>
      <c r="G55" s="6">
        <f t="shared" si="4"/>
        <v>4675</v>
      </c>
    </row>
    <row r="56" spans="1:7" ht="22.5" customHeight="1">
      <c r="A56" s="23" t="s">
        <v>19</v>
      </c>
      <c r="B56" s="21">
        <v>43087.56</v>
      </c>
      <c r="C56" s="21">
        <v>13012.44</v>
      </c>
      <c r="D56" s="17">
        <f t="shared" si="11"/>
        <v>56100</v>
      </c>
      <c r="E56" s="6">
        <f t="shared" si="2"/>
        <v>3590.6299999999997</v>
      </c>
      <c r="F56" s="6">
        <f t="shared" si="3"/>
        <v>1084.3700000000001</v>
      </c>
      <c r="G56" s="6">
        <f t="shared" si="4"/>
        <v>4675</v>
      </c>
    </row>
    <row r="57" spans="1:7" ht="22.5" customHeight="1">
      <c r="A57" s="23" t="s">
        <v>20</v>
      </c>
      <c r="B57" s="21">
        <v>43087.56</v>
      </c>
      <c r="C57" s="21">
        <v>13012.44</v>
      </c>
      <c r="D57" s="17">
        <f t="shared" si="11"/>
        <v>56100</v>
      </c>
      <c r="E57" s="6">
        <f t="shared" si="2"/>
        <v>3590.6299999999997</v>
      </c>
      <c r="F57" s="6">
        <f t="shared" si="3"/>
        <v>1084.3700000000001</v>
      </c>
      <c r="G57" s="6">
        <f t="shared" si="4"/>
        <v>4675</v>
      </c>
    </row>
    <row r="58" spans="1:7" ht="22.5" customHeight="1">
      <c r="A58" s="23" t="s">
        <v>21</v>
      </c>
      <c r="B58" s="21">
        <v>43087.56</v>
      </c>
      <c r="C58" s="21">
        <v>13012.44</v>
      </c>
      <c r="D58" s="17">
        <f t="shared" si="11"/>
        <v>56100</v>
      </c>
      <c r="E58" s="6">
        <f t="shared" si="2"/>
        <v>3590.6299999999997</v>
      </c>
      <c r="F58" s="6">
        <f t="shared" si="3"/>
        <v>1084.3700000000001</v>
      </c>
      <c r="G58" s="6">
        <f t="shared" si="4"/>
        <v>4675</v>
      </c>
    </row>
    <row r="59" spans="1:7" ht="22.5" customHeight="1">
      <c r="A59" s="27" t="s">
        <v>40</v>
      </c>
      <c r="B59" s="22">
        <f>SUM(B51:B58)</f>
        <v>430875.58</v>
      </c>
      <c r="C59" s="22">
        <f t="shared" ref="C59:D59" si="14">SUM(C51:C58)</f>
        <v>130124.42000000001</v>
      </c>
      <c r="D59" s="22">
        <f t="shared" si="14"/>
        <v>561000</v>
      </c>
      <c r="E59" s="6">
        <f t="shared" si="2"/>
        <v>35906.298333333332</v>
      </c>
      <c r="F59" s="6">
        <f t="shared" si="3"/>
        <v>10843.701666666668</v>
      </c>
      <c r="G59" s="6">
        <f t="shared" si="4"/>
        <v>46750</v>
      </c>
    </row>
    <row r="60" spans="1:7" ht="22.5" customHeight="1">
      <c r="A60" s="23" t="s">
        <v>14</v>
      </c>
      <c r="B60" s="17">
        <v>200900</v>
      </c>
      <c r="C60" s="17">
        <v>60700</v>
      </c>
      <c r="D60" s="17">
        <f>B60+C60</f>
        <v>261600</v>
      </c>
      <c r="E60" s="6">
        <f t="shared" si="2"/>
        <v>16741.666666666668</v>
      </c>
      <c r="F60" s="6">
        <f t="shared" si="3"/>
        <v>5058.333333333333</v>
      </c>
      <c r="G60" s="6">
        <f t="shared" si="4"/>
        <v>21800</v>
      </c>
    </row>
    <row r="61" spans="1:7" ht="22.5" customHeight="1">
      <c r="A61" s="23" t="s">
        <v>15</v>
      </c>
      <c r="B61" s="17">
        <f>187811</f>
        <v>187811</v>
      </c>
      <c r="C61" s="17">
        <v>56720</v>
      </c>
      <c r="D61" s="17">
        <f t="shared" ref="D61:D68" si="15">B61+C61</f>
        <v>244531</v>
      </c>
      <c r="E61" s="6">
        <f t="shared" si="2"/>
        <v>15650.916666666666</v>
      </c>
      <c r="F61" s="6">
        <f t="shared" si="3"/>
        <v>4726.666666666667</v>
      </c>
      <c r="G61" s="6">
        <f t="shared" si="4"/>
        <v>20377.583333333332</v>
      </c>
    </row>
    <row r="62" spans="1:7" ht="22.5" customHeight="1">
      <c r="A62" s="23" t="s">
        <v>16</v>
      </c>
      <c r="B62" s="17">
        <f>202600</f>
        <v>202600</v>
      </c>
      <c r="C62" s="17">
        <v>61180</v>
      </c>
      <c r="D62" s="17">
        <f t="shared" si="15"/>
        <v>263780</v>
      </c>
      <c r="E62" s="6">
        <f t="shared" si="2"/>
        <v>16883.333333333332</v>
      </c>
      <c r="F62" s="6">
        <f t="shared" si="3"/>
        <v>5098.333333333333</v>
      </c>
      <c r="G62" s="6">
        <f t="shared" si="4"/>
        <v>21981.666666666668</v>
      </c>
    </row>
    <row r="63" spans="1:7" ht="22.5" customHeight="1">
      <c r="A63" s="23" t="s">
        <v>17</v>
      </c>
      <c r="B63" s="17">
        <f>200930</f>
        <v>200930</v>
      </c>
      <c r="C63" s="17">
        <v>60680</v>
      </c>
      <c r="D63" s="17">
        <f t="shared" si="15"/>
        <v>261610</v>
      </c>
      <c r="E63" s="6">
        <f t="shared" si="2"/>
        <v>16744.166666666668</v>
      </c>
      <c r="F63" s="6">
        <f t="shared" si="3"/>
        <v>5056.666666666667</v>
      </c>
      <c r="G63" s="6">
        <f t="shared" si="4"/>
        <v>21800.833333333332</v>
      </c>
    </row>
    <row r="64" spans="1:7" ht="22.5" customHeight="1">
      <c r="A64" s="23" t="s">
        <v>18</v>
      </c>
      <c r="B64" s="17">
        <v>200900</v>
      </c>
      <c r="C64" s="17">
        <v>60700</v>
      </c>
      <c r="D64" s="17">
        <f t="shared" si="15"/>
        <v>261600</v>
      </c>
      <c r="E64" s="6">
        <f t="shared" si="2"/>
        <v>16741.666666666668</v>
      </c>
      <c r="F64" s="6">
        <f t="shared" si="3"/>
        <v>5058.333333333333</v>
      </c>
      <c r="G64" s="6">
        <f t="shared" si="4"/>
        <v>21800</v>
      </c>
    </row>
    <row r="65" spans="1:7" ht="22.5" customHeight="1">
      <c r="A65" s="23" t="s">
        <v>19</v>
      </c>
      <c r="B65" s="17">
        <f>200940</f>
        <v>200940</v>
      </c>
      <c r="C65" s="17">
        <v>60680</v>
      </c>
      <c r="D65" s="17">
        <f t="shared" si="15"/>
        <v>261620</v>
      </c>
      <c r="E65" s="6">
        <f t="shared" si="2"/>
        <v>16745</v>
      </c>
      <c r="F65" s="6">
        <f t="shared" si="3"/>
        <v>5056.666666666667</v>
      </c>
      <c r="G65" s="6">
        <f t="shared" si="4"/>
        <v>21801.666666666668</v>
      </c>
    </row>
    <row r="66" spans="1:7" ht="22.5" customHeight="1">
      <c r="A66" s="23" t="s">
        <v>20</v>
      </c>
      <c r="B66" s="17">
        <v>200900</v>
      </c>
      <c r="C66" s="17">
        <v>60700</v>
      </c>
      <c r="D66" s="17">
        <f t="shared" si="15"/>
        <v>261600</v>
      </c>
      <c r="E66" s="6">
        <f t="shared" si="2"/>
        <v>16741.666666666668</v>
      </c>
      <c r="F66" s="6">
        <f t="shared" si="3"/>
        <v>5058.333333333333</v>
      </c>
      <c r="G66" s="6">
        <f t="shared" si="4"/>
        <v>21800</v>
      </c>
    </row>
    <row r="67" spans="1:7" ht="22.5" customHeight="1">
      <c r="A67" s="23" t="s">
        <v>21</v>
      </c>
      <c r="B67" s="17">
        <f>202560</f>
        <v>202560</v>
      </c>
      <c r="C67" s="17">
        <v>61170</v>
      </c>
      <c r="D67" s="17">
        <f t="shared" si="15"/>
        <v>263730</v>
      </c>
      <c r="E67" s="6">
        <f t="shared" si="2"/>
        <v>16880</v>
      </c>
      <c r="F67" s="6">
        <f t="shared" si="3"/>
        <v>5097.5</v>
      </c>
      <c r="G67" s="6">
        <f t="shared" si="4"/>
        <v>21977.5</v>
      </c>
    </row>
    <row r="68" spans="1:7" ht="22.5" customHeight="1">
      <c r="A68" s="23" t="s">
        <v>22</v>
      </c>
      <c r="B68" s="17"/>
      <c r="C68" s="17">
        <f t="shared" ref="C68" si="16">B68*30.2%</f>
        <v>0</v>
      </c>
      <c r="D68" s="17">
        <f t="shared" si="15"/>
        <v>0</v>
      </c>
      <c r="E68" s="6">
        <f t="shared" si="2"/>
        <v>0</v>
      </c>
      <c r="F68" s="6">
        <f t="shared" si="3"/>
        <v>0</v>
      </c>
      <c r="G68" s="6">
        <f t="shared" si="4"/>
        <v>0</v>
      </c>
    </row>
    <row r="69" spans="1:7" ht="22.5" customHeight="1">
      <c r="A69" s="24" t="s">
        <v>26</v>
      </c>
      <c r="B69" s="19">
        <f t="shared" ref="B69:D69" si="17">SUM(B60:B68)</f>
        <v>1597541</v>
      </c>
      <c r="C69" s="19">
        <f t="shared" si="17"/>
        <v>482530</v>
      </c>
      <c r="D69" s="19">
        <f t="shared" si="17"/>
        <v>2080071</v>
      </c>
      <c r="E69" s="6">
        <f t="shared" ref="E69:E76" si="18">B69/12</f>
        <v>133128.41666666666</v>
      </c>
      <c r="F69" s="6">
        <f t="shared" ref="F69:F77" si="19">C69/12</f>
        <v>40210.833333333336</v>
      </c>
      <c r="G69" s="6">
        <f t="shared" ref="G69:G76" si="20">D69/12</f>
        <v>173339.25</v>
      </c>
    </row>
    <row r="70" spans="1:7" ht="22.5" customHeight="1">
      <c r="A70" s="25" t="s">
        <v>34</v>
      </c>
      <c r="B70" s="18">
        <v>164612130</v>
      </c>
      <c r="C70" s="18">
        <v>49712870</v>
      </c>
      <c r="D70" s="18">
        <f>B70+C70</f>
        <v>214325000</v>
      </c>
      <c r="E70" s="6">
        <f t="shared" si="18"/>
        <v>13717677.5</v>
      </c>
      <c r="F70" s="6">
        <f t="shared" si="19"/>
        <v>4142739.1666666665</v>
      </c>
      <c r="G70" s="6">
        <f t="shared" si="20"/>
        <v>17860416.666666668</v>
      </c>
    </row>
    <row r="71" spans="1:7" ht="22.5" customHeight="1">
      <c r="A71" s="25" t="s">
        <v>36</v>
      </c>
      <c r="B71" s="18">
        <v>633487</v>
      </c>
      <c r="C71" s="18">
        <v>191313</v>
      </c>
      <c r="D71" s="18">
        <f>B71+C71</f>
        <v>824800</v>
      </c>
      <c r="E71" s="6">
        <f t="shared" si="18"/>
        <v>52790.583333333336</v>
      </c>
      <c r="F71" s="6">
        <f t="shared" si="19"/>
        <v>15942.75</v>
      </c>
      <c r="G71" s="6">
        <f t="shared" si="20"/>
        <v>68733.333333333328</v>
      </c>
    </row>
    <row r="72" spans="1:7" ht="22.5" customHeight="1">
      <c r="A72" s="25" t="s">
        <v>33</v>
      </c>
      <c r="B72" s="18">
        <v>61085100</v>
      </c>
      <c r="C72" s="18">
        <v>18447700</v>
      </c>
      <c r="D72" s="18">
        <f t="shared" ref="D72:D75" si="21">B72+C72</f>
        <v>79532800</v>
      </c>
      <c r="E72" s="6">
        <f t="shared" si="18"/>
        <v>5090425</v>
      </c>
      <c r="F72" s="6">
        <f t="shared" si="19"/>
        <v>1537308.3333333333</v>
      </c>
      <c r="G72" s="6">
        <f t="shared" si="20"/>
        <v>6627733.333333333</v>
      </c>
    </row>
    <row r="73" spans="1:7" ht="22.5" customHeight="1">
      <c r="A73" s="25" t="s">
        <v>27</v>
      </c>
      <c r="B73" s="18">
        <v>47225800</v>
      </c>
      <c r="C73" s="18">
        <v>14262200</v>
      </c>
      <c r="D73" s="18">
        <f t="shared" si="21"/>
        <v>61488000</v>
      </c>
      <c r="E73" s="6">
        <f t="shared" si="18"/>
        <v>3935483.3333333335</v>
      </c>
      <c r="F73" s="6">
        <f t="shared" si="19"/>
        <v>1188516.6666666667</v>
      </c>
      <c r="G73" s="6">
        <f t="shared" si="20"/>
        <v>5124000</v>
      </c>
    </row>
    <row r="74" spans="1:7" ht="22.5" customHeight="1">
      <c r="A74" s="25" t="s">
        <v>28</v>
      </c>
      <c r="B74" s="18">
        <v>23691400</v>
      </c>
      <c r="C74" s="18">
        <v>7154700</v>
      </c>
      <c r="D74" s="18">
        <f t="shared" si="21"/>
        <v>30846100</v>
      </c>
      <c r="E74" s="6">
        <f t="shared" si="18"/>
        <v>1974283.3333333333</v>
      </c>
      <c r="F74" s="6">
        <f t="shared" si="19"/>
        <v>596225</v>
      </c>
      <c r="G74" s="6">
        <f t="shared" si="20"/>
        <v>2570508.3333333335</v>
      </c>
    </row>
    <row r="75" spans="1:7" ht="22.5" customHeight="1">
      <c r="A75" s="25" t="s">
        <v>29</v>
      </c>
      <c r="B75" s="18">
        <v>8380900</v>
      </c>
      <c r="C75" s="18">
        <v>2531100</v>
      </c>
      <c r="D75" s="18">
        <f t="shared" si="21"/>
        <v>10912000</v>
      </c>
      <c r="E75" s="6">
        <f t="shared" si="18"/>
        <v>698408.33333333337</v>
      </c>
      <c r="F75" s="6">
        <f t="shared" si="19"/>
        <v>210925</v>
      </c>
      <c r="G75" s="6">
        <f t="shared" si="20"/>
        <v>909333.33333333337</v>
      </c>
    </row>
    <row r="76" spans="1:7" ht="22.5" customHeight="1">
      <c r="A76" s="24" t="s">
        <v>30</v>
      </c>
      <c r="B76" s="19">
        <f>SUM(B70:B75)-B73</f>
        <v>258403017</v>
      </c>
      <c r="C76" s="19">
        <f t="shared" ref="C76:D76" si="22">SUM(C70:C75)-C73</f>
        <v>78037683</v>
      </c>
      <c r="D76" s="19">
        <f t="shared" si="22"/>
        <v>336440700</v>
      </c>
      <c r="E76" s="6">
        <f t="shared" si="18"/>
        <v>21533584.75</v>
      </c>
      <c r="F76" s="6">
        <f t="shared" si="19"/>
        <v>6503140.25</v>
      </c>
      <c r="G76" s="6">
        <f t="shared" si="20"/>
        <v>28036725</v>
      </c>
    </row>
    <row r="77" spans="1:7" ht="22.5" customHeight="1">
      <c r="A77" s="7"/>
      <c r="B77" s="17">
        <f>B76+B69+B50+B40+B30+B20+B7+B59</f>
        <v>323076386.57999998</v>
      </c>
      <c r="C77" s="17">
        <f t="shared" ref="C77:D77" si="23">C76+C69+C50+C40+C30+C20+C7+C59</f>
        <v>97569001.420000002</v>
      </c>
      <c r="D77" s="17">
        <f t="shared" si="23"/>
        <v>420645388</v>
      </c>
      <c r="E77" s="6">
        <f>B77/12</f>
        <v>26923032.215</v>
      </c>
      <c r="F77" s="6">
        <f t="shared" si="19"/>
        <v>8130750.1183333332</v>
      </c>
      <c r="G77" s="6">
        <f>D77/12</f>
        <v>35053782.333333336</v>
      </c>
    </row>
    <row r="78" spans="1:7" ht="22.5" customHeight="1">
      <c r="A78" s="29" t="s">
        <v>42</v>
      </c>
      <c r="B78" s="30"/>
      <c r="C78" s="30"/>
      <c r="D78" s="30"/>
      <c r="E78" s="31"/>
      <c r="F78" s="31"/>
      <c r="G78" s="31"/>
    </row>
    <row r="79" spans="1:7" ht="22.5" customHeight="1">
      <c r="A79" s="28" t="s">
        <v>44</v>
      </c>
      <c r="B79" s="17">
        <v>17527870</v>
      </c>
      <c r="C79" s="17"/>
      <c r="D79" s="17"/>
      <c r="E79" s="6"/>
      <c r="F79" s="6"/>
      <c r="G79" s="6"/>
    </row>
    <row r="80" spans="1:7" ht="22.5" customHeight="1">
      <c r="A80" s="28" t="s">
        <v>43</v>
      </c>
      <c r="B80" s="17">
        <f>30360470-17527870</f>
        <v>12832600</v>
      </c>
      <c r="C80" s="17"/>
      <c r="D80" s="17"/>
      <c r="E80" s="6"/>
      <c r="F80" s="6"/>
      <c r="G80" s="6"/>
    </row>
    <row r="81" spans="1:7" ht="22.5" customHeight="1">
      <c r="A81" s="28"/>
      <c r="B81" s="17"/>
      <c r="C81" s="17"/>
      <c r="D81" s="17"/>
      <c r="E81" s="6"/>
      <c r="F81" s="6"/>
      <c r="G81" s="6"/>
    </row>
    <row r="82" spans="1:7" ht="22.5" customHeight="1">
      <c r="A82" s="28"/>
      <c r="B82" s="17"/>
      <c r="C82" s="17"/>
      <c r="D82" s="17"/>
      <c r="E82" s="6"/>
      <c r="F82" s="6"/>
      <c r="G82" s="6"/>
    </row>
    <row r="83" spans="1:7" ht="22.5" customHeight="1">
      <c r="A83" s="28"/>
      <c r="B83" s="17"/>
      <c r="C83" s="17"/>
      <c r="D83" s="17"/>
      <c r="E83" s="6"/>
      <c r="F83" s="6"/>
      <c r="G83" s="6"/>
    </row>
    <row r="84" spans="1:7" ht="22.5" customHeight="1">
      <c r="A84" s="28"/>
      <c r="B84" s="17"/>
      <c r="C84" s="17"/>
      <c r="D84" s="17"/>
      <c r="E84" s="6"/>
      <c r="F84" s="6"/>
      <c r="G84" s="6"/>
    </row>
    <row r="85" spans="1:7" ht="22.5" customHeight="1">
      <c r="A85" s="28"/>
      <c r="B85" s="17"/>
      <c r="C85" s="17"/>
      <c r="D85" s="17"/>
      <c r="E85" s="6"/>
      <c r="F85" s="6"/>
      <c r="G85" s="6"/>
    </row>
    <row r="86" spans="1:7" ht="22.5" customHeight="1">
      <c r="A86" s="28"/>
      <c r="B86" s="17"/>
      <c r="C86" s="17"/>
      <c r="D86" s="17"/>
      <c r="E86" s="6"/>
      <c r="F86" s="6"/>
      <c r="G86" s="6"/>
    </row>
    <row r="87" spans="1:7" ht="22.5" customHeight="1">
      <c r="A87" s="7"/>
      <c r="B87" s="17"/>
      <c r="C87" s="17"/>
      <c r="D87" s="17"/>
      <c r="E87" s="6"/>
      <c r="F87" s="6"/>
      <c r="G87" s="6"/>
    </row>
    <row r="88" spans="1:7" ht="22.5" customHeight="1">
      <c r="A88" s="1" t="s">
        <v>39</v>
      </c>
      <c r="B88" s="1"/>
      <c r="C88" s="1"/>
      <c r="D88" s="1"/>
    </row>
    <row r="89" spans="1:7" ht="22.5" customHeight="1">
      <c r="A89" s="1"/>
      <c r="B89" s="1"/>
      <c r="C89" s="1"/>
      <c r="D89" s="14"/>
    </row>
    <row r="90" spans="1:7" ht="22.5" customHeight="1">
      <c r="A90" s="1"/>
      <c r="B90" s="1"/>
      <c r="C90" s="1"/>
      <c r="D90" s="1"/>
    </row>
    <row r="91" spans="1:7" ht="22.5" customHeight="1">
      <c r="A91" s="5"/>
      <c r="B91" s="5"/>
      <c r="C91" s="5"/>
      <c r="D91" s="5"/>
    </row>
    <row r="92" spans="1:7" ht="22.5" customHeight="1">
      <c r="A92" s="5"/>
      <c r="B92" s="5"/>
      <c r="C92" s="5"/>
      <c r="D92" s="5"/>
    </row>
    <row r="93" spans="1:7" ht="22.5" customHeight="1">
      <c r="A93" s="5"/>
      <c r="B93" s="5"/>
      <c r="C93" s="5"/>
      <c r="D93" s="5"/>
    </row>
    <row r="94" spans="1:7" ht="22.5" customHeight="1">
      <c r="A94" s="5"/>
      <c r="B94" s="5"/>
      <c r="C94" s="5"/>
      <c r="D94" s="5"/>
    </row>
    <row r="95" spans="1:7" ht="22.5" customHeight="1">
      <c r="A95" s="5"/>
      <c r="B95" s="5"/>
      <c r="C95" s="5"/>
      <c r="D95" s="5"/>
    </row>
    <row r="96" spans="1:7" ht="22.5" customHeight="1">
      <c r="A96" s="5"/>
      <c r="B96" s="5"/>
      <c r="C96" s="5"/>
      <c r="D96" s="5"/>
    </row>
    <row r="97" spans="1:4" ht="22.5" customHeight="1">
      <c r="A97" s="5"/>
      <c r="B97" s="5"/>
      <c r="C97" s="5"/>
      <c r="D97" s="5"/>
    </row>
    <row r="98" spans="1:4" ht="22.5" customHeight="1">
      <c r="A98" s="5"/>
      <c r="B98" s="5"/>
      <c r="C98" s="5"/>
      <c r="D98" s="5"/>
    </row>
    <row r="99" spans="1:4" ht="22.5" customHeight="1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</sheetData>
  <mergeCells count="2">
    <mergeCell ref="B2:D2"/>
    <mergeCell ref="E2:G2"/>
  </mergeCells>
  <pageMargins left="0.23622047244094491" right="0.15748031496062992" top="0.19685039370078741" bottom="0.19685039370078741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Лист1 (3)</vt:lpstr>
      <vt:lpstr>Лист1 по шт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2016-12-27T05:33:49Z</dcterms:modified>
</cp:coreProperties>
</file>