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М-д" sheetId="1" r:id="rId1"/>
  </sheets>
  <definedNames>
    <definedName name="_xlnm.Print_Area" localSheetId="0">'М-д'!$A$1:$R$217</definedName>
  </definedNames>
  <calcPr calcId="125725" refMode="R1C1"/>
</workbook>
</file>

<file path=xl/calcChain.xml><?xml version="1.0" encoding="utf-8"?>
<calcChain xmlns="http://schemas.openxmlformats.org/spreadsheetml/2006/main">
  <c r="P35" i="1"/>
  <c r="R35" s="1"/>
  <c r="P32"/>
  <c r="P29"/>
  <c r="P26"/>
  <c r="P23"/>
  <c r="N23"/>
  <c r="R29"/>
  <c r="R32"/>
  <c r="J213"/>
  <c r="K213"/>
  <c r="L213"/>
  <c r="I213"/>
  <c r="R11"/>
  <c r="R65"/>
  <c r="R71"/>
  <c r="R74"/>
  <c r="R83"/>
  <c r="R101"/>
  <c r="R104"/>
  <c r="R133"/>
  <c r="R145"/>
  <c r="R149"/>
  <c r="R153"/>
  <c r="R161"/>
  <c r="R165"/>
  <c r="R177"/>
  <c r="R193"/>
  <c r="R198"/>
  <c r="R203"/>
  <c r="R208"/>
  <c r="Q32"/>
  <c r="Q35"/>
  <c r="Q38"/>
  <c r="Q53"/>
  <c r="Q71"/>
  <c r="Q101"/>
  <c r="Q107"/>
  <c r="Q110"/>
  <c r="Q125"/>
  <c r="Q133"/>
  <c r="Q173"/>
  <c r="O208"/>
  <c r="Q208" s="1"/>
  <c r="O203"/>
  <c r="Q203" s="1"/>
  <c r="O198"/>
  <c r="Q198" s="1"/>
  <c r="O193"/>
  <c r="O189"/>
  <c r="P189"/>
  <c r="P185"/>
  <c r="R185" s="1"/>
  <c r="O185"/>
  <c r="Q185" s="1"/>
  <c r="P181"/>
  <c r="O181"/>
  <c r="O177"/>
  <c r="Q177" s="1"/>
  <c r="P173"/>
  <c r="P169"/>
  <c r="R169" s="1"/>
  <c r="O169"/>
  <c r="Q169" s="1"/>
  <c r="O165"/>
  <c r="Q165" s="1"/>
  <c r="O161"/>
  <c r="Q161" s="1"/>
  <c r="P157"/>
  <c r="R157" s="1"/>
  <c r="O157"/>
  <c r="Q157" s="1"/>
  <c r="O153"/>
  <c r="Q153" s="1"/>
  <c r="O149"/>
  <c r="Q149" s="1"/>
  <c r="O145"/>
  <c r="Q145" s="1"/>
  <c r="P141"/>
  <c r="P125"/>
  <c r="P122"/>
  <c r="P119"/>
  <c r="P116"/>
  <c r="P113"/>
  <c r="R113" s="1"/>
  <c r="P110"/>
  <c r="R110" s="1"/>
  <c r="P107"/>
  <c r="R107" s="1"/>
  <c r="P102"/>
  <c r="P95"/>
  <c r="P92"/>
  <c r="P89"/>
  <c r="P86"/>
  <c r="R86" s="1"/>
  <c r="P80"/>
  <c r="P62"/>
  <c r="R62" s="1"/>
  <c r="P59"/>
  <c r="R59" s="1"/>
  <c r="P53"/>
  <c r="R53" s="1"/>
  <c r="P50"/>
  <c r="R50" s="1"/>
  <c r="P47"/>
  <c r="P41"/>
  <c r="R41" s="1"/>
  <c r="P20"/>
  <c r="P14"/>
  <c r="O141" l="1"/>
  <c r="O41"/>
  <c r="P38"/>
  <c r="R38" s="1"/>
  <c r="O122"/>
  <c r="Q122" s="1"/>
  <c r="O116"/>
  <c r="Q116" s="1"/>
  <c r="O104"/>
  <c r="O102"/>
  <c r="O80"/>
  <c r="P68"/>
  <c r="O68"/>
  <c r="Q68" s="1"/>
  <c r="P56"/>
  <c r="R56" s="1"/>
  <c r="P44"/>
  <c r="O44"/>
  <c r="Q44" s="1"/>
  <c r="P213" l="1"/>
  <c r="O119"/>
  <c r="Q119" s="1"/>
  <c r="O113"/>
  <c r="Q113" s="1"/>
  <c r="O95"/>
  <c r="O92"/>
  <c r="O89"/>
  <c r="O86"/>
  <c r="Q86" s="1"/>
  <c r="O83"/>
  <c r="O74"/>
  <c r="O65"/>
  <c r="Q65" s="1"/>
  <c r="O62"/>
  <c r="O59"/>
  <c r="Q59" s="1"/>
  <c r="O56"/>
  <c r="Q56" s="1"/>
  <c r="O50"/>
  <c r="Q50" s="1"/>
  <c r="O47"/>
  <c r="Q47" s="1"/>
  <c r="O29"/>
  <c r="Q29" s="1"/>
  <c r="O26"/>
  <c r="O23"/>
  <c r="R23"/>
  <c r="M23"/>
  <c r="N20"/>
  <c r="R20" s="1"/>
  <c r="M20"/>
  <c r="Q20" s="1"/>
  <c r="O14"/>
  <c r="N14"/>
  <c r="R14" s="1"/>
  <c r="M14"/>
  <c r="M11"/>
  <c r="Q11" s="1"/>
  <c r="N8"/>
  <c r="M8"/>
  <c r="Q14" l="1"/>
  <c r="Q23"/>
  <c r="M213"/>
  <c r="Q8"/>
  <c r="R8"/>
  <c r="N213"/>
  <c r="O213"/>
</calcChain>
</file>

<file path=xl/sharedStrings.xml><?xml version="1.0" encoding="utf-8"?>
<sst xmlns="http://schemas.openxmlformats.org/spreadsheetml/2006/main" count="865" uniqueCount="668">
  <si>
    <t>Ооржак Наталья Шолбановна</t>
  </si>
  <si>
    <t>Хомушку Аялза Аясовна</t>
  </si>
  <si>
    <t>23.06.2014</t>
  </si>
  <si>
    <t>Иргит Байыр Айдынович</t>
  </si>
  <si>
    <t>13.11.2014</t>
  </si>
  <si>
    <t>Хертек Мила Казылгановна</t>
  </si>
  <si>
    <t>14.07.2014</t>
  </si>
  <si>
    <t>Кертик-оол Аяна Геннадьевна</t>
  </si>
  <si>
    <t>Кертик-оол Менги Сарыгларович</t>
  </si>
  <si>
    <t>Кертик-оол Ай-Кыс Менгиевна</t>
  </si>
  <si>
    <t>Кертик-оол Долума Менгиевна</t>
  </si>
  <si>
    <t>Кертик-оол Кузел Менгиевич</t>
  </si>
  <si>
    <t>14.08.2014</t>
  </si>
  <si>
    <t>Бады-Очур Чодураа Викторовна</t>
  </si>
  <si>
    <t>Хертек Айдын Эрес-оолович</t>
  </si>
  <si>
    <t>Бады-Очур Батыр Айдынович</t>
  </si>
  <si>
    <t>Хертек Баяруу Айдыновна</t>
  </si>
  <si>
    <t>Бады-Очур Бундай Айдынович</t>
  </si>
  <si>
    <t>02.05.2013</t>
  </si>
  <si>
    <t>17.01.2015</t>
  </si>
  <si>
    <t>Сарыглар Чодураа Алексанровна</t>
  </si>
  <si>
    <t>Хомушку Канчыыр Геннадьевич</t>
  </si>
  <si>
    <t>21.02.2010</t>
  </si>
  <si>
    <t>06.01.2014</t>
  </si>
  <si>
    <t>Саая Аюш Шолбанович</t>
  </si>
  <si>
    <t>Саая Валерия Шолбановна</t>
  </si>
  <si>
    <t>03.10.2014</t>
  </si>
  <si>
    <t>10.06.2003</t>
  </si>
  <si>
    <t>ул. Херел д. 6 кв.2</t>
  </si>
  <si>
    <t>ул. Культура д. 5</t>
  </si>
  <si>
    <t>10.05.2012</t>
  </si>
  <si>
    <t>Кужугет Валерия Хереловна</t>
  </si>
  <si>
    <t>Моктээр Саглаана Чаяновна</t>
  </si>
  <si>
    <t>Моктээр Самира Чаяновна</t>
  </si>
  <si>
    <t>05.09.2013</t>
  </si>
  <si>
    <t>Саая Айлана Кок-ооловна</t>
  </si>
  <si>
    <t>Ф.И.О. родителей</t>
  </si>
  <si>
    <t>Дата рождения</t>
  </si>
  <si>
    <t>Ф.И.О. детей</t>
  </si>
  <si>
    <t>Кол-во детей</t>
  </si>
  <si>
    <t>Домашний адрес</t>
  </si>
  <si>
    <t>6.</t>
  </si>
  <si>
    <t>1.</t>
  </si>
  <si>
    <t>с. Аксы-Барлык</t>
  </si>
  <si>
    <t>2.</t>
  </si>
  <si>
    <t>Соян Анатолий Манчын-оолович</t>
  </si>
  <si>
    <t>Соян Саида Васильевна</t>
  </si>
  <si>
    <t>Соян Алиса Анатольевна</t>
  </si>
  <si>
    <t>Соян Айдыс Анатольевич</t>
  </si>
  <si>
    <t>Соян Анита Анатольевна</t>
  </si>
  <si>
    <t>13.03.2001</t>
  </si>
  <si>
    <t>25.09.2006</t>
  </si>
  <si>
    <t>06.12.2007</t>
  </si>
  <si>
    <t>23.04.2013</t>
  </si>
  <si>
    <t>3.</t>
  </si>
  <si>
    <t>Сагаанов Отчугаш Шыырапович</t>
  </si>
  <si>
    <t>Иргит Тайгана Геннадьевна</t>
  </si>
  <si>
    <t>Иргит Чойган Отчугашович</t>
  </si>
  <si>
    <t>Иргит Чаян Отчугашович</t>
  </si>
  <si>
    <t>Иргит Чинчи Отчугашовна</t>
  </si>
  <si>
    <t>Иргит Чимит Отчугашович</t>
  </si>
  <si>
    <t>28.12.2003</t>
  </si>
  <si>
    <t>31.07.2005</t>
  </si>
  <si>
    <t>30.03.2009</t>
  </si>
  <si>
    <t>28.10.2010</t>
  </si>
  <si>
    <t>ул. Культура д. 16 кв.2</t>
  </si>
  <si>
    <t>4.</t>
  </si>
  <si>
    <t>5.</t>
  </si>
  <si>
    <t>Сундуй Менгилээн Иванович</t>
  </si>
  <si>
    <t>Сундуй Шончалай Николаевна</t>
  </si>
  <si>
    <t>Сундуй Азияна Менгилээновна</t>
  </si>
  <si>
    <t>Сундуй Айраана Менгилээновна</t>
  </si>
  <si>
    <t>Сундуй Аюна Менгилээновна</t>
  </si>
  <si>
    <t>Сундуй Айнаара Менгилээновна</t>
  </si>
  <si>
    <t>21.08.2002</t>
  </si>
  <si>
    <t>23.02.2004</t>
  </si>
  <si>
    <t>26.08.2008</t>
  </si>
  <si>
    <t>Дактан Алаш Петрович</t>
  </si>
  <si>
    <t>Дактан Алеся Алексеевна</t>
  </si>
  <si>
    <t>Дактан Айран Алашович</t>
  </si>
  <si>
    <t>Дактан Аюрзан Алашович</t>
  </si>
  <si>
    <t>Дактан Азиян Алашович</t>
  </si>
  <si>
    <t>19.05.2005</t>
  </si>
  <si>
    <t>14.09.2007</t>
  </si>
  <si>
    <t>28.09.2009</t>
  </si>
  <si>
    <t>7.</t>
  </si>
  <si>
    <t>8.</t>
  </si>
  <si>
    <t>Ооржак Экер-оол Александрович</t>
  </si>
  <si>
    <t>Ооржак Айлана Борисовна</t>
  </si>
  <si>
    <t>Ооржак Алдынай Экер-ооловна</t>
  </si>
  <si>
    <t>Ооржак Ай-Демир Экер-оолович</t>
  </si>
  <si>
    <t>19.05.2001</t>
  </si>
  <si>
    <t>25.05.2007</t>
  </si>
  <si>
    <t>9.</t>
  </si>
  <si>
    <t>10.</t>
  </si>
  <si>
    <t>Иргит Билзимаа Викторовна</t>
  </si>
  <si>
    <t>Иргит Дан-Хая Хеймер-ооловна</t>
  </si>
  <si>
    <t>Иргит Кан-Демир Хеймер-оолович</t>
  </si>
  <si>
    <t>Иргит Сенди Хеймер-ооловна</t>
  </si>
  <si>
    <t>04.11.2008</t>
  </si>
  <si>
    <t>11.02.2012</t>
  </si>
  <si>
    <t>11.</t>
  </si>
  <si>
    <t>12.</t>
  </si>
  <si>
    <t>Моктээр Орлан Киимович</t>
  </si>
  <si>
    <t>Моктээр Надежда Байыровна</t>
  </si>
  <si>
    <t>Моктээр Алдар Орланович</t>
  </si>
  <si>
    <t>Моктээр Алина Орлановна</t>
  </si>
  <si>
    <t>Моктээр Альбина Орлановна</t>
  </si>
  <si>
    <t>Моктээр Аира Орлановна</t>
  </si>
  <si>
    <t>21.05.2003</t>
  </si>
  <si>
    <t>26.06.2007</t>
  </si>
  <si>
    <t>27.08.2008</t>
  </si>
  <si>
    <t>17.02.2012</t>
  </si>
  <si>
    <t>13.</t>
  </si>
  <si>
    <t>Монгуш Алексей Алексеевич</t>
  </si>
  <si>
    <t>Монгуш Ачыты Алексеевич</t>
  </si>
  <si>
    <t>Монгуш Айслана Алексеевна</t>
  </si>
  <si>
    <t>Монгуш Сюзана Алексеевна</t>
  </si>
  <si>
    <t>12.08.2002</t>
  </si>
  <si>
    <t>08.06.2004</t>
  </si>
  <si>
    <t>12.08.2009</t>
  </si>
  <si>
    <t>ул. Хову д.3</t>
  </si>
  <si>
    <t>14.</t>
  </si>
  <si>
    <t>Кужугет Кежик-оол Серекеевич</t>
  </si>
  <si>
    <t>Кужугет Айдыс Владимировна</t>
  </si>
  <si>
    <t>Кужугет Буян Кежик-оолович</t>
  </si>
  <si>
    <t>Кужугет Херел Кежик-оолович</t>
  </si>
  <si>
    <t>Кужугет Анастасия Кежик-ооловна</t>
  </si>
  <si>
    <t>Кужугет Аймира Кежик-ооловна</t>
  </si>
  <si>
    <t>29.03.2004</t>
  </si>
  <si>
    <t>01.10.2005</t>
  </si>
  <si>
    <t>19.09.2009</t>
  </si>
  <si>
    <t>01.11.2012</t>
  </si>
  <si>
    <t>15.</t>
  </si>
  <si>
    <t>Хертек Казылган Эрес-оолович</t>
  </si>
  <si>
    <t>Хертек Маряна Аркадьевна</t>
  </si>
  <si>
    <t>Хертек Камила Казылгановна</t>
  </si>
  <si>
    <t>Хертек Карина Казылгановна</t>
  </si>
  <si>
    <t>19.10.2005</t>
  </si>
  <si>
    <t>25.09.2008</t>
  </si>
  <si>
    <t>16.</t>
  </si>
  <si>
    <t>17.</t>
  </si>
  <si>
    <t>Хомушку Буян Кан-оолович</t>
  </si>
  <si>
    <t>Хомушку Татьяна Сергеевна</t>
  </si>
  <si>
    <t>Хомушку Денис Буянович</t>
  </si>
  <si>
    <t>Хомушку Александра Буяновна</t>
  </si>
  <si>
    <t>Хомушку Онзагай Буяновна</t>
  </si>
  <si>
    <t>18.</t>
  </si>
  <si>
    <t>19.</t>
  </si>
  <si>
    <t>20.</t>
  </si>
  <si>
    <t>Моктээр Шораана Киимовна</t>
  </si>
  <si>
    <t>Кужугет Ананды Адыгжыевич</t>
  </si>
  <si>
    <t>Кужугет Буянды Адыгжыевич</t>
  </si>
  <si>
    <t>Кужугет Анастасия Адыгжыевна</t>
  </si>
  <si>
    <t>23.08.2003</t>
  </si>
  <si>
    <t>23.06.2006</t>
  </si>
  <si>
    <t>24.12.2008</t>
  </si>
  <si>
    <t>21.</t>
  </si>
  <si>
    <t>Тактан Март-оол Кертик-оолович</t>
  </si>
  <si>
    <t>Сюрюнот Алена Алексеевна</t>
  </si>
  <si>
    <t>Тактан Аймира Март-ооловна</t>
  </si>
  <si>
    <t>Тактан Александр Март-оолович</t>
  </si>
  <si>
    <t>Тактан Айлена Март-ооловна</t>
  </si>
  <si>
    <t>Тактан Артыш Март-оолович</t>
  </si>
  <si>
    <t>21.11.2003</t>
  </si>
  <si>
    <t>25.12.2005</t>
  </si>
  <si>
    <t>26.07.2009</t>
  </si>
  <si>
    <t>20.03.2013</t>
  </si>
  <si>
    <t>ул. Эрик д.10</t>
  </si>
  <si>
    <t>22.</t>
  </si>
  <si>
    <t>Кужугет Саяна Саяновна</t>
  </si>
  <si>
    <t>Кужугет Айлыг Айдыновна</t>
  </si>
  <si>
    <t>Кужугет Айлуна Айдыновна</t>
  </si>
  <si>
    <t>04.10.2007</t>
  </si>
  <si>
    <t>01.09.2009</t>
  </si>
  <si>
    <t>22.09.2011</t>
  </si>
  <si>
    <t>23.</t>
  </si>
  <si>
    <t>Саая Леонид Николаевич</t>
  </si>
  <si>
    <t>Саая Менди Леонидовна</t>
  </si>
  <si>
    <t>Саая Менги Леонидович</t>
  </si>
  <si>
    <t>Саая Луиза Леонидовна</t>
  </si>
  <si>
    <t>01.05.2010</t>
  </si>
  <si>
    <t>09.09.2011</t>
  </si>
  <si>
    <t>24.</t>
  </si>
  <si>
    <t>25.</t>
  </si>
  <si>
    <t>26.</t>
  </si>
  <si>
    <t>Сарыглар Айдын Геннадьевич</t>
  </si>
  <si>
    <t>Иргит Чечек Байыровна</t>
  </si>
  <si>
    <t>17.08.2006</t>
  </si>
  <si>
    <t>Иргит Анита Айдыновна</t>
  </si>
  <si>
    <t>14.12.2012</t>
  </si>
  <si>
    <t>27.</t>
  </si>
  <si>
    <t>Октябрь Аяс Хомушкуевич</t>
  </si>
  <si>
    <t>Сарыглар Арыяа Борисовна</t>
  </si>
  <si>
    <t>Октябрь Тойбу Аясович</t>
  </si>
  <si>
    <t>Октябрь Тойлу Аясович</t>
  </si>
  <si>
    <t>14.07.2007</t>
  </si>
  <si>
    <t>07.01.2012</t>
  </si>
  <si>
    <t>ул. Культура д.20 кв.2</t>
  </si>
  <si>
    <t>28.</t>
  </si>
  <si>
    <t>29.</t>
  </si>
  <si>
    <t>Хомушку Мерген-Херел Алексеевич</t>
  </si>
  <si>
    <t>Хомушку Сугдер Мерген-Херелович</t>
  </si>
  <si>
    <t>30.</t>
  </si>
  <si>
    <t>Хомушку Андрей Антонович</t>
  </si>
  <si>
    <t>Хомушку Алдынай Алексеевна</t>
  </si>
  <si>
    <t>Хомушку Айслан Андреевич</t>
  </si>
  <si>
    <t>Хомушку Айсурена Андреевна</t>
  </si>
  <si>
    <t>31.</t>
  </si>
  <si>
    <t>14.02.2012</t>
  </si>
  <si>
    <t>32.</t>
  </si>
  <si>
    <t>ул. Сай-Хонаш д.13 кв.1</t>
  </si>
  <si>
    <t>33.</t>
  </si>
  <si>
    <t>34.</t>
  </si>
  <si>
    <t>Хомушку Чимис Викторовна</t>
  </si>
  <si>
    <t>Хомушку Намчал Орлановна</t>
  </si>
  <si>
    <t>Хертек Аина Орлановна</t>
  </si>
  <si>
    <t>Хертек Аира Орлановна</t>
  </si>
  <si>
    <t>ул. Херел д.5 кв.1</t>
  </si>
  <si>
    <t>Хомушку Шораан Геннадьевич</t>
  </si>
  <si>
    <t>Хомушку Анчы Шораанович</t>
  </si>
  <si>
    <t xml:space="preserve">Хомушку Алдынай Шораановна </t>
  </si>
  <si>
    <t>Хомушку Айда-Сай Шораановна</t>
  </si>
  <si>
    <t>ул. Малчын д.27 кв.2</t>
  </si>
  <si>
    <t>03.12.2008</t>
  </si>
  <si>
    <t>13.08.2010</t>
  </si>
  <si>
    <t>13.06.2000</t>
  </si>
  <si>
    <t>02.03.2004</t>
  </si>
  <si>
    <t>19.11.2012</t>
  </si>
  <si>
    <t>Монгуш Сай-Суу Владимировна</t>
  </si>
  <si>
    <t>Данзырын Надежда Алексеевна</t>
  </si>
  <si>
    <t>Ашакай Родион Сааяевич</t>
  </si>
  <si>
    <t>Ашакай Сылдыс Родионович</t>
  </si>
  <si>
    <t>Ашакай Сырга Родионовна</t>
  </si>
  <si>
    <t>Ашакай Сайын-Белек Родионович</t>
  </si>
  <si>
    <t>05.10.2001</t>
  </si>
  <si>
    <t>30.06.2008</t>
  </si>
  <si>
    <t>Монгуш Азияна Борисовна</t>
  </si>
  <si>
    <t>Монгуш Темучин Багыырович</t>
  </si>
  <si>
    <t>Монгуш Темирлан Багыырович</t>
  </si>
  <si>
    <t>Монгуш Чечен-оол Багыырович</t>
  </si>
  <si>
    <t>21.10.2010.</t>
  </si>
  <si>
    <t>21.10.2010</t>
  </si>
  <si>
    <t>02.04.2012</t>
  </si>
  <si>
    <t>ул. Малчын д.21 кв.2</t>
  </si>
  <si>
    <t>Боралдай Татьяна Дам-ооловна</t>
  </si>
  <si>
    <t>Хомушку Аяс Сергеевич</t>
  </si>
  <si>
    <t>Боралдай Айза Аясовна</t>
  </si>
  <si>
    <t>Иргит Марта Сергеевна</t>
  </si>
  <si>
    <t xml:space="preserve">ул. Шивээлиг д.10 </t>
  </si>
  <si>
    <t>Сарыг-оол Аида Алексеевна</t>
  </si>
  <si>
    <t>Сарыг-оол Эрес Сарыгларович</t>
  </si>
  <si>
    <t>Сарыг-оол Хаяана Эресовна</t>
  </si>
  <si>
    <t>Сарыг-оол Виктория Эресовна</t>
  </si>
  <si>
    <t>Сарыг-оол Начын  Эресович</t>
  </si>
  <si>
    <t>Сарыг-оол Анджела Эресовна</t>
  </si>
  <si>
    <t>24.04.2001</t>
  </si>
  <si>
    <t>12.07.2006</t>
  </si>
  <si>
    <t>24.08.2007.</t>
  </si>
  <si>
    <t>12.08.2012</t>
  </si>
  <si>
    <t xml:space="preserve">ул. Шивээлиг д. 1 кв.1 </t>
  </si>
  <si>
    <t>Боралдай Айран Аясович</t>
  </si>
  <si>
    <t>Боралдай Ак-Сай Аясович</t>
  </si>
  <si>
    <t>21.09.2001</t>
  </si>
  <si>
    <t>24.04.2003</t>
  </si>
  <si>
    <t>24.07.2009</t>
  </si>
  <si>
    <t>15.11.2012</t>
  </si>
  <si>
    <t>ул. Культура д.35</t>
  </si>
  <si>
    <t>ул. Малчын д.23 кв.1</t>
  </si>
  <si>
    <t>Кунгаа Шончалай Алак-ооловна</t>
  </si>
  <si>
    <t>Кунгаа Мерген Кайгал-оолович</t>
  </si>
  <si>
    <t>Кунгаа Эртине Мергенович</t>
  </si>
  <si>
    <t>Кунгаа Хаяана Мергеновна</t>
  </si>
  <si>
    <t>Кунгаа Сливана Мергеновна</t>
  </si>
  <si>
    <t>18.04.2003</t>
  </si>
  <si>
    <t>24.02.2006</t>
  </si>
  <si>
    <t>15.03.2009</t>
  </si>
  <si>
    <t>Кужугет Анюта Алексеевна</t>
  </si>
  <si>
    <t>Кужугет Артем Болат-оолович</t>
  </si>
  <si>
    <t>Кужугет Амиран Аргемович</t>
  </si>
  <si>
    <t>Кужугет Айгуль Артемовна</t>
  </si>
  <si>
    <t>10.06.2006</t>
  </si>
  <si>
    <t>17.08.2010</t>
  </si>
  <si>
    <t>Кужугет Айдын Адыгбайович</t>
  </si>
  <si>
    <t>Кужугет Соруктуг Айдыновна</t>
  </si>
  <si>
    <t xml:space="preserve">Кужугет Ай-Хаана Айдыновна </t>
  </si>
  <si>
    <t>13.05.2005.</t>
  </si>
  <si>
    <t>ул. Малчын д.19 кв.2</t>
  </si>
  <si>
    <t>ул. Эрик д.2</t>
  </si>
  <si>
    <t>Саая Аида Николаевна</t>
  </si>
  <si>
    <t>Кужугет Сылдыс Алдын-оолович</t>
  </si>
  <si>
    <t>Кужугет Шолбан Сылдысович</t>
  </si>
  <si>
    <t>Кужугет Долаан Сылдысович</t>
  </si>
  <si>
    <t>Кужугет Ачыты Сылдысович</t>
  </si>
  <si>
    <t>Кужугет Алдынчы Сылдысович</t>
  </si>
  <si>
    <t>ул. Культура д.33а</t>
  </si>
  <si>
    <t>Иргит Азияда Хомушкуевна</t>
  </si>
  <si>
    <t>Иргит Айбек Чечен-оолович</t>
  </si>
  <si>
    <t>25.03.2002</t>
  </si>
  <si>
    <t>14.12.2003</t>
  </si>
  <si>
    <t>08.08.2005</t>
  </si>
  <si>
    <t>08.02.2013</t>
  </si>
  <si>
    <t>Иргит Айшет Айбекович</t>
  </si>
  <si>
    <t>Иргит Айрат Айбекович</t>
  </si>
  <si>
    <t>Иргит Архат Айбекович</t>
  </si>
  <si>
    <t>Иргит Азият Айбекович</t>
  </si>
  <si>
    <t>20.09.2001</t>
  </si>
  <si>
    <t>26.03.2003</t>
  </si>
  <si>
    <t>28.05.2006</t>
  </si>
  <si>
    <t>Ооржак Орланмаа Окуй-ооловна</t>
  </si>
  <si>
    <t>Ооржак Шолбан Чечек-оолович</t>
  </si>
  <si>
    <t>Ооржак Айдаана Шолбановна</t>
  </si>
  <si>
    <t>Ооржак Алина Шолбановна</t>
  </si>
  <si>
    <t>Ооржак Дензин Шолбанович</t>
  </si>
  <si>
    <t>01.09.2003</t>
  </si>
  <si>
    <t>10.03.2006</t>
  </si>
  <si>
    <t>09.01.2013</t>
  </si>
  <si>
    <t>ул. Эрик д.12</t>
  </si>
  <si>
    <t>Сарыглар Оюнзак Товарищтайович</t>
  </si>
  <si>
    <t>Сарыглар Онзагай Оюнзановна</t>
  </si>
  <si>
    <t>Сарыглар Оргаадай Оюнзаковна</t>
  </si>
  <si>
    <t>Сарыглар Азияна Оюнзаковна</t>
  </si>
  <si>
    <t>11.06.2004.</t>
  </si>
  <si>
    <t>01.02.2007</t>
  </si>
  <si>
    <t xml:space="preserve">ул. Шивээлиг д. 4 кв.2 </t>
  </si>
  <si>
    <t>Чом Аяна Хулер-ооловна</t>
  </si>
  <si>
    <t>Чом Мерген Кара-оолович</t>
  </si>
  <si>
    <t>Чом Арыяа Мергеновна</t>
  </si>
  <si>
    <t>Чом Найыр Мергенович</t>
  </si>
  <si>
    <t>Чом Найдан Мергенович</t>
  </si>
  <si>
    <t>27.05.2002</t>
  </si>
  <si>
    <t>19.04.2009</t>
  </si>
  <si>
    <t>Чом Найдын Мергенович</t>
  </si>
  <si>
    <t>28.03.2011</t>
  </si>
  <si>
    <t>ул. Херел д.2 кв.2</t>
  </si>
  <si>
    <t>Сарыг-оол Айланмаа Николаевна</t>
  </si>
  <si>
    <t>Сарыг-оол Омак Сарыгларович</t>
  </si>
  <si>
    <t>Сарыг-оол Чаида Омаковна</t>
  </si>
  <si>
    <t>Сарыг-оол Сай-Суу Омаковна</t>
  </si>
  <si>
    <t>02.03.2001</t>
  </si>
  <si>
    <t>21.08.2003</t>
  </si>
  <si>
    <t>18.03.2012</t>
  </si>
  <si>
    <t>Даржаа Начын Суге-Маадырович</t>
  </si>
  <si>
    <t>Даржаа Найыр Суге-Маадырович</t>
  </si>
  <si>
    <t>Даржаа Алтана Суге-Маадыровна</t>
  </si>
  <si>
    <t>02.06.2005</t>
  </si>
  <si>
    <t>20.10.2007</t>
  </si>
  <si>
    <t>ул. Сай-Хонаш д.15 кв.2</t>
  </si>
  <si>
    <t>Соян Айдын Анатольевич</t>
  </si>
  <si>
    <t>Соян Артыш Анатольевич</t>
  </si>
  <si>
    <t>Кан-оол Арина Николаевна</t>
  </si>
  <si>
    <t>Кан-оол Аюрзана Николаевна</t>
  </si>
  <si>
    <t>Кан-оол Амелия Николаевна</t>
  </si>
  <si>
    <t>ул. Найырал д.19</t>
  </si>
  <si>
    <t>14.06.2004</t>
  </si>
  <si>
    <t>12.02.2002</t>
  </si>
  <si>
    <t>16.10.2007</t>
  </si>
  <si>
    <t>12.05.2012</t>
  </si>
  <si>
    <t>Кужугет Кладопина Хомушкуевна</t>
  </si>
  <si>
    <t>Кужугет Константин Дугарович</t>
  </si>
  <si>
    <t>Кужугет Аяндай Константинович</t>
  </si>
  <si>
    <t>Кужугет Алдынай Константиновна</t>
  </si>
  <si>
    <t>Кужугет Аянды Константинович</t>
  </si>
  <si>
    <t>Кужугет Амархуу Константинович</t>
  </si>
  <si>
    <t>Кужугет Дали Константинович</t>
  </si>
  <si>
    <t>05.03.2001</t>
  </si>
  <si>
    <t>08.12.2002</t>
  </si>
  <si>
    <t>20.09.2004</t>
  </si>
  <si>
    <t>04.08.2006</t>
  </si>
  <si>
    <t>04.12.2008</t>
  </si>
  <si>
    <t>Саая Алена Александровна</t>
  </si>
  <si>
    <t>Саая Аюуран Эдикович</t>
  </si>
  <si>
    <t>15.01.2006</t>
  </si>
  <si>
    <t xml:space="preserve">с. Аксы-Барлык </t>
  </si>
  <si>
    <t>Канчыыр-оол Чечена Хеймер-ооловна</t>
  </si>
  <si>
    <t>Канчыыр-оол Белек Буянович</t>
  </si>
  <si>
    <t>Канчыыр-оол Самир Саянович</t>
  </si>
  <si>
    <t>01.02.2009</t>
  </si>
  <si>
    <t>ул. Сай-Хонаш д. 5 кв.2</t>
  </si>
  <si>
    <t>Давый-оол Олимпиада Монгушовна</t>
  </si>
  <si>
    <t>Давый-оол Анета Мергеновна</t>
  </si>
  <si>
    <t>Давый-оол Богдана Радмировна</t>
  </si>
  <si>
    <t>Давый-оол Чалым Чыргал-оолович</t>
  </si>
  <si>
    <t>12.03.2003</t>
  </si>
  <si>
    <t>01.02.2006</t>
  </si>
  <si>
    <t>23.05.2012</t>
  </si>
  <si>
    <t>ул. Культура д.26 кв.2</t>
  </si>
  <si>
    <t>ул. Сай-Хонаш д. 9 кв.1</t>
  </si>
  <si>
    <t>Саая Шолбан Комбуевич</t>
  </si>
  <si>
    <t>Саая Оттужу Шолбанович</t>
  </si>
  <si>
    <t>Сарыг-оол Ангелина Омаковна</t>
  </si>
  <si>
    <t>36.</t>
  </si>
  <si>
    <t>37.</t>
  </si>
  <si>
    <t>38.</t>
  </si>
  <si>
    <t>39.</t>
  </si>
  <si>
    <t>Кан-оол Айланмаа Хереловна</t>
  </si>
  <si>
    <t>40.</t>
  </si>
  <si>
    <t>26.08.2010</t>
  </si>
  <si>
    <t>Саая Аржаана Крассовна</t>
  </si>
  <si>
    <t>Хомушку Геннадий Эрес-оолович</t>
  </si>
  <si>
    <t>Сарыглар Ачыты Сергекович</t>
  </si>
  <si>
    <t>Сарыглар Айыжы Геннадьевич</t>
  </si>
  <si>
    <t>01.12.2012</t>
  </si>
  <si>
    <t>Иргит Аганак Айдынович</t>
  </si>
  <si>
    <t>Саая Аяс Сурунович</t>
  </si>
  <si>
    <t>Монгуш Сухбат Адисович</t>
  </si>
  <si>
    <t>11.04.2012</t>
  </si>
  <si>
    <t>06.03.2006</t>
  </si>
  <si>
    <t>Иргит Хеймер-оол Чечен-оолович</t>
  </si>
  <si>
    <t>Монгуш Айгуля Борисовна</t>
  </si>
  <si>
    <t>Кужугет Йорона Чойгановна</t>
  </si>
  <si>
    <t>04.06.2003</t>
  </si>
  <si>
    <t>05.07.2007</t>
  </si>
  <si>
    <t>27.07.2002</t>
  </si>
  <si>
    <t>24.04.2013</t>
  </si>
  <si>
    <t>26.12.2004</t>
  </si>
  <si>
    <t>20.06.2013</t>
  </si>
  <si>
    <t>ул. Найырал д. 31</t>
  </si>
  <si>
    <t>Хертек Хорагай Кара-ооловна</t>
  </si>
  <si>
    <t>Хертек Чюдюк Николаевич</t>
  </si>
  <si>
    <t>Хертек Айлуна Чюдюковна</t>
  </si>
  <si>
    <t>Хертек Аймир Чюдюкович</t>
  </si>
  <si>
    <t>Хомушку Мариана Олеговна</t>
  </si>
  <si>
    <t>Хомушку Вадим Викторович</t>
  </si>
  <si>
    <t>Хомушку Батый Вадимович</t>
  </si>
  <si>
    <t>ул. Херел д.2 кв.1</t>
  </si>
  <si>
    <t>Ывый-оол Артыш Кара-оолович</t>
  </si>
  <si>
    <t>Ывый-оол Сайзаана Николаевна</t>
  </si>
  <si>
    <t>Ывый-оол Айза Артышовна</t>
  </si>
  <si>
    <t>Ывый-оол Агата Артышовна</t>
  </si>
  <si>
    <t>16.07.2007</t>
  </si>
  <si>
    <t>29.01.2011</t>
  </si>
  <si>
    <t>16.06.2006</t>
  </si>
  <si>
    <t>10.06.2007</t>
  </si>
  <si>
    <t>Кужугет Виктория Хереловна</t>
  </si>
  <si>
    <t>Кужугет Субедей Айдысович</t>
  </si>
  <si>
    <t>ул. Малчын д. 19 кв.1</t>
  </si>
  <si>
    <t>3</t>
  </si>
  <si>
    <t>Ооржак Шолбан Александрович</t>
  </si>
  <si>
    <t>Ооржак Валерия Шолбановна</t>
  </si>
  <si>
    <t>Ооржак Виталий Шолбанович</t>
  </si>
  <si>
    <t>28.07.2003</t>
  </si>
  <si>
    <t>16.09.2011</t>
  </si>
  <si>
    <t>ул. Культура д. 1а</t>
  </si>
  <si>
    <t>Хертек Дамиран Каримович</t>
  </si>
  <si>
    <t>Хертек Дарина Каримовна</t>
  </si>
  <si>
    <t>Кужугет Чинчи Антоновна</t>
  </si>
  <si>
    <t>Кужугет Айслан Айдысович</t>
  </si>
  <si>
    <t>ул. Малчын д. 9</t>
  </si>
  <si>
    <t>Хертек Угулза Чюдюковна</t>
  </si>
  <si>
    <t>05.02.2014</t>
  </si>
  <si>
    <t>Хомушку Оюмаа Орлановна</t>
  </si>
  <si>
    <t>Моктээр Чаян Вячеславович</t>
  </si>
  <si>
    <t>Ооржак Ай-Мерген Экер-оолович</t>
  </si>
  <si>
    <t>Ывый-оол Алдар Артышович</t>
  </si>
  <si>
    <t>21.04.2014</t>
  </si>
  <si>
    <t>ул. Херел д. 8 кв. 2</t>
  </si>
  <si>
    <t>Ооржак Чойгана Чарлыковна</t>
  </si>
  <si>
    <t>04.06.2014</t>
  </si>
  <si>
    <t>Монгуш Шуру Домур-ооловна</t>
  </si>
  <si>
    <t>Монгуш Аяжы Артышович</t>
  </si>
  <si>
    <t>Монгуш Аялга Артышовна</t>
  </si>
  <si>
    <t>Монгуш Аянза Артышовна</t>
  </si>
  <si>
    <t>28.01.2003</t>
  </si>
  <si>
    <t>20.04.2004</t>
  </si>
  <si>
    <t>13.02.2007</t>
  </si>
  <si>
    <t>ул. Найырал д.23</t>
  </si>
  <si>
    <t>Хомушку Сылдыс Сергеевич</t>
  </si>
  <si>
    <t>Хомушку Ананды Сылдысович</t>
  </si>
  <si>
    <t>Хомушку Сулдем Сылдысович</t>
  </si>
  <si>
    <t>Хомушку Саян Сылдысович</t>
  </si>
  <si>
    <t>18.03.2007</t>
  </si>
  <si>
    <t>15.03.2011</t>
  </si>
  <si>
    <t>03.06.2013</t>
  </si>
  <si>
    <t>17.12.2015</t>
  </si>
  <si>
    <t>Кужугет Кан-Демир Артемович</t>
  </si>
  <si>
    <t>23.10.2015</t>
  </si>
  <si>
    <t>14.12.2013г.</t>
  </si>
  <si>
    <t>Кужугет Ендана Чойгановна</t>
  </si>
  <si>
    <t>Хомушку Шолбан Сергеевич</t>
  </si>
  <si>
    <t>Хомушку Ясмин Шолбановна</t>
  </si>
  <si>
    <t>ул. Херел д. 12 кв.1</t>
  </si>
  <si>
    <t>Хомушку Снежана Шолбановна</t>
  </si>
  <si>
    <t>Хомушку Херелмаа Санааевна</t>
  </si>
  <si>
    <t>Октябрь  Доржу Аясович</t>
  </si>
  <si>
    <t>Канчыыр-оол Кирилл Хеймар-оолович</t>
  </si>
  <si>
    <t>19.01.2016</t>
  </si>
  <si>
    <t>Монгуш Ай-Cуу Борисовна</t>
  </si>
  <si>
    <t>Кунзекпен Дарыймаа Сылдыс-ооловна</t>
  </si>
  <si>
    <t>Кунзекпен Ай-Хаана Сылдыс-ооловна</t>
  </si>
  <si>
    <t>Кунзекпен Максим Сылдыс-оолович</t>
  </si>
  <si>
    <t>ул. Малчын д. 23 кв.2</t>
  </si>
  <si>
    <t>13.07.2013</t>
  </si>
  <si>
    <t xml:space="preserve">Саая Саймира Сылдысовна </t>
  </si>
  <si>
    <t>Ооржак Алдын-Сай Алдыновна</t>
  </si>
  <si>
    <t>Даржаа Суге-Маадыр Борисович</t>
  </si>
  <si>
    <t>Кужугет Айлана Алдын-ооловна</t>
  </si>
  <si>
    <t>Саая Айжан Ойлаарович</t>
  </si>
  <si>
    <t>Саая Амир Хулер-оолович</t>
  </si>
  <si>
    <t>29.30.2017</t>
  </si>
  <si>
    <t>Иргит Ай-Чурек Айдыновна</t>
  </si>
  <si>
    <t>Октябрь Чаялга Аясовна</t>
  </si>
  <si>
    <t>Иргит Айырана Отчугашовна</t>
  </si>
  <si>
    <t>Сат Саяна Сергеевна</t>
  </si>
  <si>
    <t>Татыг-оол Буян Хеймер-оолович</t>
  </si>
  <si>
    <t>Татыг-оол  Белла Хеймер-ооловна</t>
  </si>
  <si>
    <t>Татыг-оол Билзек Хеймер-ооловна</t>
  </si>
  <si>
    <t>Татыг-оол Белек-кыс Хеймер-ооловна</t>
  </si>
  <si>
    <t>Хомушку Чыргал Андреевич</t>
  </si>
  <si>
    <t>Кужугет Айджана Алдыновна</t>
  </si>
  <si>
    <t>Хомушку Айлана Алдын-ооловна</t>
  </si>
  <si>
    <t>ул. Культура д.39</t>
  </si>
  <si>
    <t>Монгуш Артыш Серин-оолович</t>
  </si>
  <si>
    <t>Иргит Аржаана Мергеновна</t>
  </si>
  <si>
    <t>Иргит Адыя Мергеновна</t>
  </si>
  <si>
    <t>Кужугет Сайын Чойганович</t>
  </si>
  <si>
    <t>Хомушку Линда Вадимовна</t>
  </si>
  <si>
    <t>26.12.2017</t>
  </si>
  <si>
    <t>Хомушку Мадина Вадимовна</t>
  </si>
  <si>
    <t>Давый-оол Курлан Монгушович</t>
  </si>
  <si>
    <t>Ховалыг Ирина Шериг-ооловна</t>
  </si>
  <si>
    <t>Ховалыг Дарина Шолбановна</t>
  </si>
  <si>
    <t>Ховалыг Менди Курлановна</t>
  </si>
  <si>
    <t>Ховалыг Октаргай Курланович</t>
  </si>
  <si>
    <t>Ховалыг Ай-Чырыы Курлановна</t>
  </si>
  <si>
    <t>15.06.2011г.</t>
  </si>
  <si>
    <t>23.04.2013г.</t>
  </si>
  <si>
    <t>20.05.2016г.</t>
  </si>
  <si>
    <t>02.04.2018г.</t>
  </si>
  <si>
    <t>12.06.2013г.</t>
  </si>
  <si>
    <t>04.11.2014г.</t>
  </si>
  <si>
    <t xml:space="preserve">                                          Список многодетных семей сумона Аксы-Барлыкский на 01 января 2019 год.</t>
  </si>
  <si>
    <t>17.04.2011г.</t>
  </si>
  <si>
    <t>30.11.2013г.</t>
  </si>
  <si>
    <t xml:space="preserve">Моктээр Арина Чаяновна </t>
  </si>
  <si>
    <t>25.04.2018г.</t>
  </si>
  <si>
    <t>Саая Солаана Сылдысовна</t>
  </si>
  <si>
    <t>13.03.2016г.</t>
  </si>
  <si>
    <t>Хомушку Сурен Мерген-Херелович</t>
  </si>
  <si>
    <t>24.04.2009г.</t>
  </si>
  <si>
    <t>05.09.2013г.</t>
  </si>
  <si>
    <t>Хомушку Сулдем Мерген-Херелович</t>
  </si>
  <si>
    <t>20.09.2018г.</t>
  </si>
  <si>
    <t>Кужугет Ай-Cуу Аян-ооловна</t>
  </si>
  <si>
    <t>Бурбу Демир-Санаа Артышович</t>
  </si>
  <si>
    <t>29.06.2018г.</t>
  </si>
  <si>
    <t>Хомушку  Милана Буяновна</t>
  </si>
  <si>
    <t>08.01.2003г.</t>
  </si>
  <si>
    <t>01.04.2004г.</t>
  </si>
  <si>
    <t>23.08.2006г.</t>
  </si>
  <si>
    <t>25.04.2010г.</t>
  </si>
  <si>
    <t>16.01.2019г.</t>
  </si>
  <si>
    <t>ул. Найырал д. 29а</t>
  </si>
  <si>
    <t>Кертик-оол Найдан Менгиевич</t>
  </si>
  <si>
    <t xml:space="preserve">27.11.2018г. </t>
  </si>
  <si>
    <t>Хомушку  Аржаана Олеговна</t>
  </si>
  <si>
    <t>15.11.2012г.</t>
  </si>
  <si>
    <t>29.10.2014г.</t>
  </si>
  <si>
    <t>Хомушку Алантос Шолбановна</t>
  </si>
  <si>
    <t>10.08.2018г.</t>
  </si>
  <si>
    <t>Сарыглар Саара Делеговна</t>
  </si>
  <si>
    <t>01.07.2003г.</t>
  </si>
  <si>
    <t>Саая  Ай-Чечээ  Аясовна</t>
  </si>
  <si>
    <t>19.06.2013г.</t>
  </si>
  <si>
    <t>Саая Алдын-Херел Аясович</t>
  </si>
  <si>
    <t>28.09.2018г.</t>
  </si>
  <si>
    <t>ул. Найырал д. 36  кв.1</t>
  </si>
  <si>
    <t>05.02.2006г.</t>
  </si>
  <si>
    <t>17.08.2011г.</t>
  </si>
  <si>
    <t>Утверждаю:</t>
  </si>
  <si>
    <t>М.П. "_____" __________ 2019г.</t>
  </si>
  <si>
    <t xml:space="preserve">Наличие имущества в собственности </t>
  </si>
  <si>
    <t>Общая площадь кв2.</t>
  </si>
  <si>
    <t xml:space="preserve">Имущество </t>
  </si>
  <si>
    <t>Хомушку Аялга Буяновна</t>
  </si>
  <si>
    <t xml:space="preserve">Долевая собственность </t>
  </si>
  <si>
    <t>Долевая собственность 1/5</t>
  </si>
  <si>
    <t xml:space="preserve">Земля </t>
  </si>
  <si>
    <t>Долевая собственность 1/4</t>
  </si>
  <si>
    <t>ул. Культура 1</t>
  </si>
  <si>
    <t xml:space="preserve">ул. Малчын д. 15 кв.1 </t>
  </si>
  <si>
    <t>Собственность Давый-оол О.М.</t>
  </si>
  <si>
    <t>ул. Культура д. 28 кв.1</t>
  </si>
  <si>
    <t>Собственность Данзырын Н.А.</t>
  </si>
  <si>
    <t xml:space="preserve">Долевая собственность  1/5 </t>
  </si>
  <si>
    <t>Собственность Дактан А.А.</t>
  </si>
  <si>
    <t>ул. Малчын д. 27 кв.1</t>
  </si>
  <si>
    <t>Собственность Иргит М.С.</t>
  </si>
  <si>
    <t>Собственность Кужугет А.А.</t>
  </si>
  <si>
    <t>Собственность Ооржак Ш.Ч.</t>
  </si>
  <si>
    <t>ул. Найырал д. 30 кв.2</t>
  </si>
  <si>
    <t>Собственность Канчыыр-оол Э.Х.</t>
  </si>
  <si>
    <t>Собственность Хомушку А.Б.</t>
  </si>
  <si>
    <t xml:space="preserve">ул. Культура д. 30 </t>
  </si>
  <si>
    <t>Собственность Сарыг-оол А.Н.</t>
  </si>
  <si>
    <t>Собственность Саая А.А.</t>
  </si>
  <si>
    <t>Собственность Саая А.К.</t>
  </si>
  <si>
    <t>Собственность Кужугет Г.А.</t>
  </si>
  <si>
    <t>ул. Найырал д. 12 кв.2</t>
  </si>
  <si>
    <t>ул. Культура д . 33 кв.2</t>
  </si>
  <si>
    <t>Долевая собственность 1/6</t>
  </si>
  <si>
    <t>Собственность Саая А.С.</t>
  </si>
  <si>
    <t>Собственность Кунгаа Ш.А.</t>
  </si>
  <si>
    <t>Собственность Хомушку С.С.</t>
  </si>
  <si>
    <t>Собственность Монгуш Азияна Борисовна</t>
  </si>
  <si>
    <t xml:space="preserve">Собственность Хомушку Х.С. </t>
  </si>
  <si>
    <t>ул. Херел д. 1 кв.2</t>
  </si>
  <si>
    <t>Долевая собственность</t>
  </si>
  <si>
    <t>Собственнтсь Хомушку Ч.В.</t>
  </si>
  <si>
    <t>Сосбственность Хомушку М.О.</t>
  </si>
  <si>
    <t>ул. Херел д. 4 кв.1</t>
  </si>
  <si>
    <t>Собственность Иргит Б.В.</t>
  </si>
  <si>
    <t>Собственность Сарыглар Ч.А.</t>
  </si>
  <si>
    <t>ул. Херел д. 6 кв.1</t>
  </si>
  <si>
    <t>Собственность Ывый-оол С.Н.</t>
  </si>
  <si>
    <t>Собственность Хомушку А.О.</t>
  </si>
  <si>
    <t>ул. Шивээлиг д. 8</t>
  </si>
  <si>
    <t>Долевая собственность 1/7</t>
  </si>
  <si>
    <t>Собственность Кужугет К.Х.</t>
  </si>
  <si>
    <t>ул. Эрик д.14</t>
  </si>
  <si>
    <t>Собственность Хомушку Т.С.</t>
  </si>
  <si>
    <t>Собственность Сарыглар А.Б.</t>
  </si>
  <si>
    <t>Собственность Иргит А.Х.</t>
  </si>
  <si>
    <t>ул. Культура д.15</t>
  </si>
  <si>
    <t>ул. Сай-Хонаш д. 11 кв.1</t>
  </si>
  <si>
    <t>Собственнсть Сундуй Ш.Н.</t>
  </si>
  <si>
    <t>Собственность Саая А.Н.</t>
  </si>
  <si>
    <t>Собственность Моктээр О.К.</t>
  </si>
  <si>
    <t>ул. Херел д. 3 кв.1</t>
  </si>
  <si>
    <t>Хертек Даяана Анатольевна</t>
  </si>
  <si>
    <t>Собственность Иргит Ч.Б.</t>
  </si>
  <si>
    <t>ул. Культура д. 24 кв.2</t>
  </si>
  <si>
    <t>ул. Найырал д. 24</t>
  </si>
  <si>
    <t>Собственность Давый-оол К.М.</t>
  </si>
  <si>
    <t>Собственность Боралдай Т.Д.</t>
  </si>
  <si>
    <t>Собственность Кужугет С.С.</t>
  </si>
  <si>
    <t>ул. Хову д. 9</t>
  </si>
  <si>
    <t>ул. Хову д. 11</t>
  </si>
  <si>
    <t>Собственность Чом А.Х.</t>
  </si>
  <si>
    <t>Собственность Хертек Х.К.</t>
  </si>
  <si>
    <t>исчисленная сумма к уплате до изменение ИН</t>
  </si>
  <si>
    <t>исчисленная сумма к уплате после изменение ЗН</t>
  </si>
  <si>
    <t>исчисленная сумма к уплате после  изменение ИН</t>
  </si>
  <si>
    <t>ЗН</t>
  </si>
  <si>
    <t>ИН</t>
  </si>
  <si>
    <t>после</t>
  </si>
  <si>
    <t>кадастровая стоимость ЗН</t>
  </si>
  <si>
    <t>КС ИН</t>
  </si>
  <si>
    <t>исчисленная сумма к уплате до изменение ЗН (0,3)</t>
  </si>
  <si>
    <t>Кан-оол Николай Хомушкуевич (собств)</t>
  </si>
  <si>
    <t>Монгуш Чойганмаа Эдер-ооловна (собств)</t>
  </si>
  <si>
    <t xml:space="preserve">начислено за 2017 </t>
  </si>
  <si>
    <t>выпадающий доход</t>
  </si>
  <si>
    <t>Не приватизированный</t>
  </si>
  <si>
    <t>Хомушку (Саая)  Аржаана Борисовна</t>
  </si>
  <si>
    <t>Собственность Сарыг-оол А. А.</t>
  </si>
  <si>
    <t>Кужугет Даяна Анатольевна</t>
  </si>
  <si>
    <t xml:space="preserve">1303, 0 </t>
  </si>
  <si>
    <t>ВСЕГО:</t>
  </si>
  <si>
    <t>Кол-во  семей</t>
  </si>
  <si>
    <t>51,3 (202 руб)</t>
  </si>
  <si>
    <t>62366/58,5*0,21%</t>
  </si>
  <si>
    <t>298153,09/53*0,1%</t>
  </si>
  <si>
    <t>51,3-20-6,46</t>
  </si>
  <si>
    <t>238898,64/37*0,1%</t>
  </si>
  <si>
    <t>37-20*6,46</t>
  </si>
  <si>
    <t xml:space="preserve">Исполнитель: Иргит Б. В. </t>
  </si>
  <si>
    <t>Кол-во многодетных семей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</si>
</sst>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name val="Calibri"/>
      <family val="2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9"/>
      <color indexed="8"/>
      <name val="Calibri"/>
      <family val="2"/>
    </font>
    <font>
      <sz val="8"/>
      <color indexed="64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49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49" fontId="6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49" fontId="6" fillId="0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1" xfId="0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14" fontId="10" fillId="0" borderId="1" xfId="0" applyNumberFormat="1" applyFont="1" applyBorder="1" applyAlignment="1">
      <alignment vertical="top"/>
    </xf>
    <xf numFmtId="0" fontId="6" fillId="0" borderId="1" xfId="0" applyFont="1" applyBorder="1" applyAlignment="1"/>
    <xf numFmtId="0" fontId="5" fillId="0" borderId="6" xfId="0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6" xfId="0" applyFont="1" applyBorder="1" applyAlignment="1"/>
    <xf numFmtId="0" fontId="10" fillId="0" borderId="1" xfId="0" applyFont="1" applyBorder="1" applyAlignment="1"/>
    <xf numFmtId="0" fontId="10" fillId="0" borderId="6" xfId="0" applyFont="1" applyBorder="1" applyAlignment="1">
      <alignment vertical="top"/>
    </xf>
    <xf numFmtId="0" fontId="10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1" xfId="0" applyFont="1" applyBorder="1" applyAlignment="1"/>
    <xf numFmtId="0" fontId="0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/>
    </xf>
    <xf numFmtId="0" fontId="12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 vertical="top"/>
    </xf>
    <xf numFmtId="0" fontId="6" fillId="0" borderId="5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top"/>
    </xf>
    <xf numFmtId="0" fontId="14" fillId="0" borderId="1" xfId="0" applyNumberFormat="1" applyFont="1" applyBorder="1" applyAlignment="1">
      <alignment horizontal="center" vertical="top"/>
    </xf>
    <xf numFmtId="0" fontId="1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0" borderId="1" xfId="0" applyFont="1" applyBorder="1"/>
    <xf numFmtId="0" fontId="1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vertical="top"/>
    </xf>
    <xf numFmtId="14" fontId="10" fillId="0" borderId="7" xfId="0" applyNumberFormat="1" applyFont="1" applyBorder="1" applyAlignment="1">
      <alignment horizontal="center" vertical="top"/>
    </xf>
    <xf numFmtId="14" fontId="10" fillId="0" borderId="2" xfId="0" applyNumberFormat="1" applyFont="1" applyBorder="1" applyAlignment="1">
      <alignment vertical="top"/>
    </xf>
    <xf numFmtId="14" fontId="10" fillId="0" borderId="7" xfId="0" applyNumberFormat="1" applyFont="1" applyBorder="1" applyAlignment="1">
      <alignment vertical="top"/>
    </xf>
    <xf numFmtId="14" fontId="14" fillId="0" borderId="2" xfId="0" applyNumberFormat="1" applyFont="1" applyBorder="1" applyAlignment="1">
      <alignment vertical="top"/>
    </xf>
    <xf numFmtId="0" fontId="11" fillId="0" borderId="2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vertical="top"/>
    </xf>
    <xf numFmtId="0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49" fontId="6" fillId="3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vertical="top"/>
    </xf>
    <xf numFmtId="14" fontId="10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4" borderId="0" xfId="0" applyFont="1" applyFill="1"/>
    <xf numFmtId="0" fontId="0" fillId="4" borderId="0" xfId="0" applyFill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0" fillId="5" borderId="0" xfId="0" applyFill="1"/>
    <xf numFmtId="0" fontId="13" fillId="5" borderId="0" xfId="0" applyFont="1" applyFill="1"/>
    <xf numFmtId="0" fontId="0" fillId="5" borderId="0" xfId="0" applyFill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22" fillId="0" borderId="11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6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top"/>
    </xf>
    <xf numFmtId="0" fontId="11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top"/>
    </xf>
    <xf numFmtId="1" fontId="17" fillId="0" borderId="1" xfId="0" applyNumberFormat="1" applyFont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12" fillId="0" borderId="4" xfId="0" applyFont="1" applyBorder="1" applyAlignment="1"/>
    <xf numFmtId="0" fontId="0" fillId="0" borderId="4" xfId="0" applyBorder="1" applyAlignment="1"/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6"/>
  <sheetViews>
    <sheetView tabSelected="1" view="pageBreakPreview" zoomScale="80" zoomScaleNormal="90" zoomScaleSheetLayoutView="80" workbookViewId="0">
      <selection activeCell="A2" sqref="A2:XFD4"/>
    </sheetView>
  </sheetViews>
  <sheetFormatPr defaultRowHeight="15"/>
  <cols>
    <col min="1" max="1" width="6.7109375" style="151" customWidth="1"/>
    <col min="2" max="2" width="38.85546875" customWidth="1"/>
    <col min="3" max="3" width="7" style="69" customWidth="1"/>
    <col min="4" max="4" width="7.140625" style="2" hidden="1" customWidth="1"/>
    <col min="5" max="5" width="28.85546875" customWidth="1"/>
    <col min="6" max="6" width="11.42578125" style="5" customWidth="1"/>
    <col min="7" max="7" width="21.28515625" style="89" customWidth="1"/>
    <col min="8" max="8" width="17.85546875" style="72" customWidth="1"/>
    <col min="9" max="9" width="10.28515625" style="124" customWidth="1"/>
    <col min="10" max="10" width="11.85546875" style="124" hidden="1" customWidth="1"/>
    <col min="11" max="11" width="14.5703125" style="125" customWidth="1"/>
    <col min="12" max="12" width="10.7109375" style="126" hidden="1" customWidth="1"/>
    <col min="13" max="13" width="10.5703125" style="165" hidden="1" customWidth="1"/>
    <col min="14" max="14" width="9.28515625" style="176" hidden="1" customWidth="1"/>
    <col min="15" max="15" width="9.42578125" style="2" hidden="1" customWidth="1"/>
    <col min="16" max="16" width="9.28515625" style="2" hidden="1" customWidth="1"/>
    <col min="17" max="17" width="10.5703125" style="2" hidden="1" customWidth="1"/>
    <col min="18" max="18" width="9.28515625" style="2" hidden="1" customWidth="1"/>
  </cols>
  <sheetData>
    <row r="1" spans="1:18">
      <c r="H1" s="56"/>
      <c r="I1" s="121"/>
      <c r="J1" s="121"/>
      <c r="K1" s="121"/>
      <c r="L1" s="2"/>
      <c r="M1" s="164" t="s">
        <v>569</v>
      </c>
      <c r="N1" s="174"/>
      <c r="O1" s="7"/>
      <c r="P1" s="7"/>
    </row>
    <row r="2" spans="1:18">
      <c r="M2" s="164" t="s">
        <v>570</v>
      </c>
      <c r="N2" s="175"/>
    </row>
    <row r="3" spans="1:18">
      <c r="A3" s="224" t="s">
        <v>531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8" ht="15.75" customHeight="1">
      <c r="A4" s="201" t="s">
        <v>659</v>
      </c>
      <c r="B4" s="201" t="s">
        <v>36</v>
      </c>
      <c r="C4" s="216" t="s">
        <v>667</v>
      </c>
      <c r="D4" s="107"/>
      <c r="E4" s="201" t="s">
        <v>38</v>
      </c>
      <c r="F4" s="218" t="s">
        <v>37</v>
      </c>
      <c r="G4" s="201" t="s">
        <v>40</v>
      </c>
      <c r="H4" s="220" t="s">
        <v>571</v>
      </c>
      <c r="I4" s="221"/>
      <c r="J4" s="138"/>
      <c r="K4" s="201" t="s">
        <v>572</v>
      </c>
      <c r="M4" s="208" t="s">
        <v>651</v>
      </c>
      <c r="N4" s="209"/>
      <c r="O4" s="210" t="s">
        <v>645</v>
      </c>
      <c r="P4" s="210"/>
      <c r="Q4" s="206" t="s">
        <v>652</v>
      </c>
      <c r="R4" s="207"/>
    </row>
    <row r="5" spans="1:18" s="7" customFormat="1" ht="73.5" customHeight="1">
      <c r="A5" s="202"/>
      <c r="B5" s="202"/>
      <c r="C5" s="217"/>
      <c r="D5" s="108" t="s">
        <v>39</v>
      </c>
      <c r="E5" s="202"/>
      <c r="F5" s="219"/>
      <c r="G5" s="202"/>
      <c r="H5" s="222"/>
      <c r="I5" s="223"/>
      <c r="J5" s="108" t="s">
        <v>646</v>
      </c>
      <c r="K5" s="202"/>
      <c r="L5" s="109" t="s">
        <v>647</v>
      </c>
      <c r="M5" s="166" t="s">
        <v>648</v>
      </c>
      <c r="N5" s="177" t="s">
        <v>640</v>
      </c>
      <c r="O5" s="93" t="s">
        <v>641</v>
      </c>
      <c r="P5" s="93" t="s">
        <v>642</v>
      </c>
      <c r="Q5" s="150" t="s">
        <v>643</v>
      </c>
      <c r="R5" s="150" t="s">
        <v>644</v>
      </c>
    </row>
    <row r="6" spans="1:18" s="3" customFormat="1">
      <c r="A6" s="108"/>
      <c r="B6" s="8"/>
      <c r="C6" s="57"/>
      <c r="D6" s="211"/>
      <c r="E6" s="212"/>
      <c r="F6" s="212"/>
      <c r="G6" s="8"/>
      <c r="H6" s="86" t="s">
        <v>573</v>
      </c>
      <c r="I6" s="122" t="s">
        <v>577</v>
      </c>
      <c r="J6" s="123"/>
      <c r="K6" s="123"/>
      <c r="L6" s="92"/>
      <c r="M6" s="167"/>
      <c r="N6" s="178"/>
      <c r="O6" s="95"/>
      <c r="P6" s="95"/>
      <c r="Q6" s="95"/>
      <c r="R6" s="95"/>
    </row>
    <row r="7" spans="1:18" s="1" customFormat="1" ht="14.45" hidden="1" customHeight="1">
      <c r="A7" s="203"/>
      <c r="B7" s="204"/>
      <c r="C7" s="204"/>
      <c r="D7" s="204"/>
      <c r="E7" s="204"/>
      <c r="F7" s="204"/>
      <c r="G7" s="204"/>
      <c r="H7" s="205"/>
      <c r="I7" s="205"/>
      <c r="J7" s="205"/>
      <c r="K7" s="205"/>
      <c r="L7" s="127"/>
      <c r="M7" s="168"/>
      <c r="N7" s="179"/>
      <c r="O7" s="96"/>
      <c r="P7" s="96"/>
      <c r="Q7" s="96"/>
      <c r="R7" s="96"/>
    </row>
    <row r="8" spans="1:18" s="1" customFormat="1" ht="28.15" customHeight="1">
      <c r="A8" s="52" t="s">
        <v>42</v>
      </c>
      <c r="B8" s="18" t="s">
        <v>438</v>
      </c>
      <c r="C8" s="58" t="s">
        <v>437</v>
      </c>
      <c r="D8" s="16">
        <v>1</v>
      </c>
      <c r="E8" s="18" t="s">
        <v>439</v>
      </c>
      <c r="F8" s="17" t="s">
        <v>441</v>
      </c>
      <c r="G8" s="18" t="s">
        <v>43</v>
      </c>
      <c r="H8" s="73" t="s">
        <v>576</v>
      </c>
      <c r="I8" s="128">
        <v>420</v>
      </c>
      <c r="J8" s="129"/>
      <c r="K8" s="130">
        <v>28.9</v>
      </c>
      <c r="L8" s="131"/>
      <c r="M8" s="169">
        <f>420*70.53*0.3%</f>
        <v>88.867800000000003</v>
      </c>
      <c r="N8" s="180">
        <f>(28.9-20)*6.45</f>
        <v>57.404999999999994</v>
      </c>
      <c r="O8" s="96">
        <v>0</v>
      </c>
      <c r="P8" s="94">
        <v>0</v>
      </c>
      <c r="Q8" s="94">
        <f>M8-O8</f>
        <v>88.867800000000003</v>
      </c>
      <c r="R8" s="94">
        <f>N8-P8</f>
        <v>57.404999999999994</v>
      </c>
    </row>
    <row r="9" spans="1:18" s="1" customFormat="1" ht="12.75">
      <c r="A9" s="52"/>
      <c r="B9" s="18" t="s">
        <v>457</v>
      </c>
      <c r="C9" s="58"/>
      <c r="D9" s="16">
        <v>2</v>
      </c>
      <c r="E9" s="18" t="s">
        <v>440</v>
      </c>
      <c r="F9" s="17" t="s">
        <v>442</v>
      </c>
      <c r="G9" s="18" t="s">
        <v>443</v>
      </c>
      <c r="H9" s="73"/>
      <c r="I9" s="132"/>
      <c r="J9" s="133"/>
      <c r="K9" s="130"/>
      <c r="L9" s="131"/>
      <c r="M9" s="168"/>
      <c r="N9" s="179"/>
      <c r="O9" s="96"/>
      <c r="P9" s="96"/>
      <c r="Q9" s="94"/>
      <c r="R9" s="94"/>
    </row>
    <row r="10" spans="1:18" s="1" customFormat="1" ht="12.75">
      <c r="A10" s="52"/>
      <c r="B10" s="18"/>
      <c r="C10" s="58"/>
      <c r="D10" s="16" t="s">
        <v>54</v>
      </c>
      <c r="E10" s="18" t="s">
        <v>0</v>
      </c>
      <c r="F10" s="17" t="s">
        <v>458</v>
      </c>
      <c r="G10" s="71"/>
      <c r="H10" s="73"/>
      <c r="I10" s="132"/>
      <c r="J10" s="133"/>
      <c r="K10" s="130"/>
      <c r="L10" s="131"/>
      <c r="M10" s="168"/>
      <c r="N10" s="179"/>
      <c r="O10" s="96"/>
      <c r="P10" s="96"/>
      <c r="Q10" s="94"/>
      <c r="R10" s="94"/>
    </row>
    <row r="11" spans="1:18" s="1" customFormat="1" ht="25.9" customHeight="1">
      <c r="A11" s="52" t="s">
        <v>44</v>
      </c>
      <c r="B11" s="19" t="s">
        <v>87</v>
      </c>
      <c r="C11" s="58" t="s">
        <v>437</v>
      </c>
      <c r="D11" s="16">
        <v>1</v>
      </c>
      <c r="E11" s="18" t="s">
        <v>89</v>
      </c>
      <c r="F11" s="17" t="s">
        <v>91</v>
      </c>
      <c r="G11" s="18" t="s">
        <v>43</v>
      </c>
      <c r="H11" s="73" t="s">
        <v>578</v>
      </c>
      <c r="I11" s="132">
        <v>440</v>
      </c>
      <c r="J11" s="133"/>
      <c r="K11" s="130">
        <v>13.9</v>
      </c>
      <c r="L11" s="131"/>
      <c r="M11" s="169">
        <f>440*70.53*0.3%</f>
        <v>93.099600000000009</v>
      </c>
      <c r="N11" s="180">
        <v>0</v>
      </c>
      <c r="O11" s="96">
        <v>0</v>
      </c>
      <c r="P11" s="94">
        <v>0</v>
      </c>
      <c r="Q11" s="94">
        <f t="shared" ref="Q11:Q71" si="0">M11-O11</f>
        <v>93.099600000000009</v>
      </c>
      <c r="R11" s="94">
        <f t="shared" ref="R11:R71" si="1">N11-P11</f>
        <v>0</v>
      </c>
    </row>
    <row r="12" spans="1:18" s="1" customFormat="1" ht="12.75">
      <c r="A12" s="52"/>
      <c r="B12" s="18" t="s">
        <v>88</v>
      </c>
      <c r="C12" s="58"/>
      <c r="D12" s="16">
        <v>2</v>
      </c>
      <c r="E12" s="18" t="s">
        <v>90</v>
      </c>
      <c r="F12" s="17" t="s">
        <v>92</v>
      </c>
      <c r="G12" s="18" t="s">
        <v>579</v>
      </c>
      <c r="H12" s="73"/>
      <c r="I12" s="132"/>
      <c r="J12" s="133"/>
      <c r="K12" s="130"/>
      <c r="L12" s="131"/>
      <c r="M12" s="168"/>
      <c r="N12" s="179"/>
      <c r="O12" s="96"/>
      <c r="P12" s="96"/>
      <c r="Q12" s="94"/>
      <c r="R12" s="94"/>
    </row>
    <row r="13" spans="1:18" s="1" customFormat="1" ht="12.75">
      <c r="A13" s="52"/>
      <c r="B13" s="55"/>
      <c r="C13" s="59"/>
      <c r="D13" s="16">
        <v>3</v>
      </c>
      <c r="E13" s="19" t="s">
        <v>453</v>
      </c>
      <c r="F13" s="17" t="s">
        <v>2</v>
      </c>
      <c r="G13" s="71"/>
      <c r="H13" s="73"/>
      <c r="I13" s="132"/>
      <c r="J13" s="133"/>
      <c r="K13" s="130"/>
      <c r="L13" s="131"/>
      <c r="M13" s="168"/>
      <c r="N13" s="179"/>
      <c r="O13" s="96"/>
      <c r="P13" s="96"/>
      <c r="Q13" s="94"/>
      <c r="R13" s="94"/>
    </row>
    <row r="14" spans="1:18" s="1" customFormat="1" ht="25.5">
      <c r="A14" s="52" t="s">
        <v>54</v>
      </c>
      <c r="B14" s="18" t="s">
        <v>379</v>
      </c>
      <c r="C14" s="58" t="s">
        <v>437</v>
      </c>
      <c r="D14" s="16" t="s">
        <v>42</v>
      </c>
      <c r="E14" s="18" t="s">
        <v>380</v>
      </c>
      <c r="F14" s="17" t="s">
        <v>383</v>
      </c>
      <c r="G14" s="18" t="s">
        <v>43</v>
      </c>
      <c r="H14" s="73" t="s">
        <v>581</v>
      </c>
      <c r="I14" s="132">
        <v>698</v>
      </c>
      <c r="J14" s="133"/>
      <c r="K14" s="130">
        <v>64.599999999999994</v>
      </c>
      <c r="L14" s="131"/>
      <c r="M14" s="169">
        <f>698*70.53*0.3%</f>
        <v>147.68982</v>
      </c>
      <c r="N14" s="180">
        <f>(64.6-20)*5.9</f>
        <v>263.14</v>
      </c>
      <c r="O14" s="94">
        <f>(698-600)*70.53*0.3%</f>
        <v>20.73582</v>
      </c>
      <c r="P14" s="94">
        <f>(64.6-20-7-7-7)*5.9</f>
        <v>139.23999999999998</v>
      </c>
      <c r="Q14" s="94">
        <f t="shared" si="0"/>
        <v>126.95399999999999</v>
      </c>
      <c r="R14" s="94">
        <f t="shared" si="1"/>
        <v>123.9</v>
      </c>
    </row>
    <row r="15" spans="1:18" s="1" customFormat="1" ht="12.75">
      <c r="A15" s="52"/>
      <c r="B15" s="18"/>
      <c r="C15" s="58"/>
      <c r="D15" s="16" t="s">
        <v>44</v>
      </c>
      <c r="E15" s="18" t="s">
        <v>381</v>
      </c>
      <c r="F15" s="17" t="s">
        <v>384</v>
      </c>
      <c r="G15" s="18" t="s">
        <v>580</v>
      </c>
      <c r="H15" s="73"/>
      <c r="I15" s="132"/>
      <c r="J15" s="133"/>
      <c r="K15" s="130"/>
      <c r="L15" s="131"/>
      <c r="M15" s="168"/>
      <c r="N15" s="179"/>
      <c r="O15" s="96"/>
      <c r="P15" s="96"/>
      <c r="Q15" s="94"/>
      <c r="R15" s="94"/>
    </row>
    <row r="16" spans="1:18" s="1" customFormat="1" ht="15" customHeight="1">
      <c r="A16" s="152"/>
      <c r="B16" s="37"/>
      <c r="C16" s="60"/>
      <c r="D16" s="33" t="s">
        <v>54</v>
      </c>
      <c r="E16" s="37" t="s">
        <v>382</v>
      </c>
      <c r="F16" s="17" t="s">
        <v>385</v>
      </c>
      <c r="G16" s="71"/>
      <c r="H16" s="73"/>
      <c r="I16" s="132"/>
      <c r="J16" s="133"/>
      <c r="K16" s="130"/>
      <c r="L16" s="131"/>
      <c r="M16" s="168"/>
      <c r="N16" s="179"/>
      <c r="O16" s="96"/>
      <c r="P16" s="96"/>
      <c r="Q16" s="94"/>
      <c r="R16" s="94"/>
    </row>
    <row r="17" spans="1:20" s="1" customFormat="1" ht="28.15" customHeight="1">
      <c r="A17" s="52" t="s">
        <v>66</v>
      </c>
      <c r="B17" s="110" t="s">
        <v>452</v>
      </c>
      <c r="C17" s="58" t="s">
        <v>437</v>
      </c>
      <c r="D17" s="16">
        <v>1</v>
      </c>
      <c r="E17" s="23" t="s">
        <v>32</v>
      </c>
      <c r="F17" s="23" t="s">
        <v>532</v>
      </c>
      <c r="G17" s="18" t="s">
        <v>43</v>
      </c>
      <c r="H17" s="73" t="s">
        <v>653</v>
      </c>
      <c r="I17" s="132">
        <v>923</v>
      </c>
      <c r="J17" s="133"/>
      <c r="K17" s="130">
        <v>44.2</v>
      </c>
      <c r="L17" s="131"/>
      <c r="M17" s="169"/>
      <c r="N17" s="180"/>
      <c r="O17" s="94"/>
      <c r="P17" s="94"/>
      <c r="Q17" s="94"/>
      <c r="R17" s="94"/>
    </row>
    <row r="18" spans="1:20" s="1" customFormat="1" ht="12.75">
      <c r="A18" s="52"/>
      <c r="B18" s="22" t="s">
        <v>451</v>
      </c>
      <c r="C18" s="58"/>
      <c r="D18" s="16">
        <v>2</v>
      </c>
      <c r="E18" s="23" t="s">
        <v>33</v>
      </c>
      <c r="F18" s="23" t="s">
        <v>533</v>
      </c>
      <c r="G18" s="18" t="s">
        <v>386</v>
      </c>
      <c r="H18" s="73"/>
      <c r="I18" s="132"/>
      <c r="J18" s="133"/>
      <c r="K18" s="130"/>
      <c r="L18" s="131"/>
      <c r="M18" s="168"/>
      <c r="N18" s="179"/>
      <c r="O18" s="96"/>
      <c r="P18" s="96"/>
      <c r="Q18" s="94"/>
      <c r="R18" s="94"/>
    </row>
    <row r="19" spans="1:20" s="1" customFormat="1" ht="12.75">
      <c r="A19" s="153"/>
      <c r="B19" s="36"/>
      <c r="C19" s="61"/>
      <c r="D19" s="16">
        <v>3</v>
      </c>
      <c r="E19" s="23" t="s">
        <v>534</v>
      </c>
      <c r="F19" s="23" t="s">
        <v>535</v>
      </c>
      <c r="G19" s="71"/>
      <c r="H19" s="73"/>
      <c r="I19" s="132"/>
      <c r="J19" s="133"/>
      <c r="K19" s="130"/>
      <c r="L19" s="131"/>
      <c r="M19" s="168"/>
      <c r="N19" s="179"/>
      <c r="O19" s="96"/>
      <c r="P19" s="96"/>
      <c r="Q19" s="94"/>
      <c r="R19" s="94"/>
    </row>
    <row r="20" spans="1:20" s="1" customFormat="1" ht="25.5">
      <c r="A20" s="52" t="s">
        <v>67</v>
      </c>
      <c r="B20" s="19" t="s">
        <v>230</v>
      </c>
      <c r="C20" s="58" t="s">
        <v>437</v>
      </c>
      <c r="D20" s="16">
        <v>1</v>
      </c>
      <c r="E20" s="18" t="s">
        <v>232</v>
      </c>
      <c r="F20" s="17" t="s">
        <v>235</v>
      </c>
      <c r="G20" s="18" t="s">
        <v>43</v>
      </c>
      <c r="H20" s="73" t="s">
        <v>583</v>
      </c>
      <c r="I20" s="132">
        <v>560</v>
      </c>
      <c r="J20" s="133"/>
      <c r="K20" s="130">
        <v>44.9</v>
      </c>
      <c r="L20" s="131">
        <v>226112.36</v>
      </c>
      <c r="M20" s="169">
        <f>560*70.53*0.3%</f>
        <v>118.49040000000001</v>
      </c>
      <c r="N20" s="180">
        <f>(44.9-20)*5.04</f>
        <v>125.496</v>
      </c>
      <c r="O20" s="94">
        <v>0</v>
      </c>
      <c r="P20" s="94">
        <f>(44.9-20-7-7-7)*5.04</f>
        <v>19.655999999999992</v>
      </c>
      <c r="Q20" s="94">
        <f t="shared" si="0"/>
        <v>118.49040000000001</v>
      </c>
      <c r="R20" s="94">
        <f t="shared" si="1"/>
        <v>105.84</v>
      </c>
    </row>
    <row r="21" spans="1:20" s="1" customFormat="1" ht="12.75">
      <c r="A21" s="52"/>
      <c r="B21" s="18" t="s">
        <v>231</v>
      </c>
      <c r="C21" s="58"/>
      <c r="D21" s="16">
        <v>2</v>
      </c>
      <c r="E21" s="18" t="s">
        <v>233</v>
      </c>
      <c r="F21" s="17" t="s">
        <v>407</v>
      </c>
      <c r="G21" s="18" t="s">
        <v>582</v>
      </c>
      <c r="H21" s="73"/>
      <c r="I21" s="132"/>
      <c r="J21" s="133"/>
      <c r="K21" s="130"/>
      <c r="L21" s="131"/>
      <c r="M21" s="168"/>
      <c r="N21" s="179"/>
      <c r="O21" s="96"/>
      <c r="P21" s="96"/>
      <c r="Q21" s="94"/>
      <c r="R21" s="94"/>
    </row>
    <row r="22" spans="1:20" s="1" customFormat="1" ht="12.75">
      <c r="A22" s="52"/>
      <c r="B22" s="18"/>
      <c r="C22" s="58"/>
      <c r="D22" s="16">
        <v>3</v>
      </c>
      <c r="E22" s="18" t="s">
        <v>234</v>
      </c>
      <c r="F22" s="17" t="s">
        <v>236</v>
      </c>
      <c r="G22" s="71"/>
      <c r="H22" s="73"/>
      <c r="I22" s="132"/>
      <c r="J22" s="133"/>
      <c r="K22" s="130"/>
      <c r="L22" s="131"/>
      <c r="M22" s="168"/>
      <c r="N22" s="179"/>
      <c r="O22" s="96"/>
      <c r="P22" s="96"/>
      <c r="Q22" s="94"/>
      <c r="R22" s="94"/>
    </row>
    <row r="23" spans="1:20" s="1" customFormat="1" ht="30" customHeight="1">
      <c r="A23" s="52" t="s">
        <v>41</v>
      </c>
      <c r="B23" s="19" t="s">
        <v>560</v>
      </c>
      <c r="C23" s="58" t="s">
        <v>437</v>
      </c>
      <c r="D23" s="16">
        <v>1</v>
      </c>
      <c r="E23" s="18" t="s">
        <v>319</v>
      </c>
      <c r="F23" s="20" t="s">
        <v>413</v>
      </c>
      <c r="G23" s="18" t="s">
        <v>43</v>
      </c>
      <c r="H23" s="73" t="s">
        <v>584</v>
      </c>
      <c r="I23" s="132">
        <v>1121</v>
      </c>
      <c r="J23" s="133"/>
      <c r="K23" s="130">
        <v>45.1</v>
      </c>
      <c r="L23" s="131"/>
      <c r="M23" s="169">
        <f>1121*70.53*0.3%</f>
        <v>237.19239000000002</v>
      </c>
      <c r="N23" s="180">
        <f>(45.1-20)*0.82</f>
        <v>20.582000000000001</v>
      </c>
      <c r="O23" s="94">
        <f>(1121-600)*70.53*0.3%</f>
        <v>110.23839</v>
      </c>
      <c r="P23" s="94">
        <f>(45.1-20-7-7-7)*0.82</f>
        <v>3.362000000000001</v>
      </c>
      <c r="Q23" s="94">
        <f t="shared" si="0"/>
        <v>126.95400000000002</v>
      </c>
      <c r="R23" s="94">
        <f t="shared" si="1"/>
        <v>17.22</v>
      </c>
    </row>
    <row r="24" spans="1:20" s="1" customFormat="1" ht="12.75">
      <c r="A24" s="52"/>
      <c r="B24" s="18" t="s">
        <v>318</v>
      </c>
      <c r="C24" s="58"/>
      <c r="D24" s="16">
        <v>2</v>
      </c>
      <c r="E24" s="18" t="s">
        <v>320</v>
      </c>
      <c r="F24" s="17" t="s">
        <v>322</v>
      </c>
      <c r="G24" s="18" t="s">
        <v>324</v>
      </c>
      <c r="H24" s="73"/>
      <c r="I24" s="132"/>
      <c r="J24" s="133"/>
      <c r="K24" s="130"/>
      <c r="L24" s="131"/>
      <c r="M24" s="168"/>
      <c r="N24" s="179"/>
      <c r="O24" s="96"/>
      <c r="P24" s="96"/>
      <c r="Q24" s="94"/>
      <c r="R24" s="94"/>
    </row>
    <row r="25" spans="1:20" s="1" customFormat="1" ht="12.75">
      <c r="A25" s="52"/>
      <c r="B25" s="18"/>
      <c r="C25" s="58"/>
      <c r="D25" s="16">
        <v>3</v>
      </c>
      <c r="E25" s="18" t="s">
        <v>321</v>
      </c>
      <c r="F25" s="17" t="s">
        <v>323</v>
      </c>
      <c r="G25" s="71"/>
      <c r="H25" s="73"/>
      <c r="I25" s="132"/>
      <c r="J25" s="133"/>
      <c r="K25" s="130"/>
      <c r="L25" s="131"/>
      <c r="M25" s="168"/>
      <c r="N25" s="179"/>
      <c r="O25" s="96"/>
      <c r="P25" s="96"/>
      <c r="Q25" s="94"/>
      <c r="R25" s="94"/>
    </row>
    <row r="26" spans="1:20" s="1" customFormat="1" ht="25.5">
      <c r="A26" s="21" t="s">
        <v>85</v>
      </c>
      <c r="B26" s="19" t="s">
        <v>78</v>
      </c>
      <c r="C26" s="58" t="s">
        <v>437</v>
      </c>
      <c r="D26" s="16">
        <v>1</v>
      </c>
      <c r="E26" s="18" t="s">
        <v>79</v>
      </c>
      <c r="F26" s="17" t="s">
        <v>82</v>
      </c>
      <c r="G26" s="18" t="s">
        <v>43</v>
      </c>
      <c r="H26" s="73" t="s">
        <v>585</v>
      </c>
      <c r="I26" s="132">
        <v>780</v>
      </c>
      <c r="J26" s="133"/>
      <c r="K26" s="130">
        <v>58.5</v>
      </c>
      <c r="L26" s="131"/>
      <c r="M26" s="168">
        <v>33</v>
      </c>
      <c r="N26" s="179">
        <v>41</v>
      </c>
      <c r="O26" s="94">
        <f>(780-600)*70.53*0.3%</f>
        <v>38.086199999999998</v>
      </c>
      <c r="P26" s="94">
        <f>(58.5-20-5-5-5)*1.07</f>
        <v>25.145000000000003</v>
      </c>
      <c r="Q26" s="94">
        <v>0</v>
      </c>
      <c r="R26" s="94">
        <v>0</v>
      </c>
      <c r="S26" s="1" t="s">
        <v>661</v>
      </c>
    </row>
    <row r="27" spans="1:20" s="1" customFormat="1" ht="12.75">
      <c r="A27" s="21"/>
      <c r="B27" s="18" t="s">
        <v>77</v>
      </c>
      <c r="C27" s="58"/>
      <c r="D27" s="16">
        <v>2</v>
      </c>
      <c r="E27" s="18" t="s">
        <v>80</v>
      </c>
      <c r="F27" s="17" t="s">
        <v>83</v>
      </c>
      <c r="G27" s="18" t="s">
        <v>586</v>
      </c>
      <c r="H27" s="73"/>
      <c r="I27" s="132"/>
      <c r="J27" s="133"/>
      <c r="K27" s="130"/>
      <c r="L27" s="131"/>
      <c r="M27" s="168"/>
      <c r="N27" s="179"/>
      <c r="O27" s="96"/>
      <c r="P27" s="96"/>
      <c r="Q27" s="94"/>
      <c r="R27" s="94"/>
    </row>
    <row r="28" spans="1:20" s="1" customFormat="1" ht="12.75">
      <c r="A28" s="21"/>
      <c r="B28" s="18"/>
      <c r="C28" s="58"/>
      <c r="D28" s="16">
        <v>3</v>
      </c>
      <c r="E28" s="18" t="s">
        <v>81</v>
      </c>
      <c r="F28" s="17" t="s">
        <v>84</v>
      </c>
      <c r="G28" s="71"/>
      <c r="H28" s="73"/>
      <c r="I28" s="132"/>
      <c r="J28" s="133"/>
      <c r="K28" s="130"/>
      <c r="L28" s="131"/>
      <c r="M28" s="168"/>
      <c r="N28" s="179"/>
      <c r="O28" s="96"/>
      <c r="P28" s="96"/>
      <c r="Q28" s="94"/>
      <c r="R28" s="94"/>
    </row>
    <row r="29" spans="1:20" s="1" customFormat="1" ht="25.5">
      <c r="A29" s="21" t="s">
        <v>86</v>
      </c>
      <c r="B29" s="19" t="s">
        <v>248</v>
      </c>
      <c r="C29" s="58" t="s">
        <v>437</v>
      </c>
      <c r="D29" s="16">
        <v>1</v>
      </c>
      <c r="E29" s="18" t="s">
        <v>178</v>
      </c>
      <c r="F29" s="17" t="s">
        <v>181</v>
      </c>
      <c r="G29" s="18" t="s">
        <v>43</v>
      </c>
      <c r="H29" s="73" t="s">
        <v>587</v>
      </c>
      <c r="I29" s="132">
        <v>1001</v>
      </c>
      <c r="J29" s="133"/>
      <c r="K29" s="130">
        <v>53</v>
      </c>
      <c r="L29" s="131"/>
      <c r="M29" s="168">
        <v>212</v>
      </c>
      <c r="N29" s="179">
        <v>217</v>
      </c>
      <c r="O29" s="94">
        <f>(1001-600)*70.53*0.3%</f>
        <v>84.847589999999997</v>
      </c>
      <c r="P29" s="94">
        <f>(53-20-5-5-5)*5.63</f>
        <v>101.34</v>
      </c>
      <c r="Q29" s="94">
        <f t="shared" si="0"/>
        <v>127.15241</v>
      </c>
      <c r="R29" s="94">
        <f>N29-P29</f>
        <v>115.66</v>
      </c>
      <c r="S29" s="199" t="s">
        <v>662</v>
      </c>
      <c r="T29" s="200"/>
    </row>
    <row r="30" spans="1:20" s="6" customFormat="1" ht="12.75">
      <c r="A30" s="21"/>
      <c r="B30" s="18" t="s">
        <v>177</v>
      </c>
      <c r="C30" s="58"/>
      <c r="D30" s="16">
        <v>2</v>
      </c>
      <c r="E30" s="18" t="s">
        <v>179</v>
      </c>
      <c r="F30" s="17" t="s">
        <v>182</v>
      </c>
      <c r="G30" s="18" t="s">
        <v>249</v>
      </c>
      <c r="H30" s="74"/>
      <c r="I30" s="134"/>
      <c r="J30" s="135"/>
      <c r="K30" s="136"/>
      <c r="L30" s="137"/>
      <c r="M30" s="170"/>
      <c r="N30" s="181"/>
      <c r="O30" s="97"/>
      <c r="P30" s="97"/>
      <c r="Q30" s="94"/>
      <c r="R30" s="94"/>
    </row>
    <row r="31" spans="1:20">
      <c r="A31" s="21"/>
      <c r="B31" s="18"/>
      <c r="C31" s="58"/>
      <c r="D31" s="16">
        <v>3</v>
      </c>
      <c r="E31" s="18" t="s">
        <v>180</v>
      </c>
      <c r="F31" s="17" t="s">
        <v>492</v>
      </c>
      <c r="G31" s="88"/>
      <c r="H31" s="29"/>
      <c r="I31" s="138"/>
      <c r="J31" s="139"/>
      <c r="K31" s="140"/>
      <c r="L31" s="141"/>
      <c r="M31" s="171"/>
      <c r="N31" s="182"/>
      <c r="O31" s="107"/>
      <c r="P31" s="107"/>
      <c r="Q31" s="94"/>
      <c r="R31" s="94"/>
    </row>
    <row r="32" spans="1:20" ht="25.5">
      <c r="A32" s="154" t="s">
        <v>93</v>
      </c>
      <c r="B32" s="19" t="s">
        <v>277</v>
      </c>
      <c r="C32" s="58" t="s">
        <v>437</v>
      </c>
      <c r="D32" s="16" t="s">
        <v>42</v>
      </c>
      <c r="E32" s="18" t="s">
        <v>279</v>
      </c>
      <c r="F32" s="17" t="s">
        <v>281</v>
      </c>
      <c r="G32" s="18" t="s">
        <v>43</v>
      </c>
      <c r="H32" s="29" t="s">
        <v>588</v>
      </c>
      <c r="I32" s="138">
        <v>407</v>
      </c>
      <c r="J32" s="139"/>
      <c r="K32" s="140" t="s">
        <v>660</v>
      </c>
      <c r="L32" s="141"/>
      <c r="M32" s="171">
        <v>86</v>
      </c>
      <c r="N32" s="182">
        <v>202</v>
      </c>
      <c r="O32" s="94">
        <v>0</v>
      </c>
      <c r="P32" s="94">
        <f>(51.3-20-5-5-5)*6.46</f>
        <v>105.29799999999999</v>
      </c>
      <c r="Q32" s="94">
        <f t="shared" si="0"/>
        <v>86</v>
      </c>
      <c r="R32" s="94">
        <f>N32-P32</f>
        <v>96.702000000000012</v>
      </c>
      <c r="S32" s="185">
        <v>331229.74</v>
      </c>
      <c r="T32" t="s">
        <v>663</v>
      </c>
    </row>
    <row r="33" spans="1:21">
      <c r="A33" s="21"/>
      <c r="B33" s="18" t="s">
        <v>278</v>
      </c>
      <c r="C33" s="58"/>
      <c r="D33" s="16" t="s">
        <v>44</v>
      </c>
      <c r="E33" s="18" t="s">
        <v>280</v>
      </c>
      <c r="F33" s="17" t="s">
        <v>282</v>
      </c>
      <c r="G33" s="18" t="s">
        <v>288</v>
      </c>
      <c r="H33" s="29"/>
      <c r="I33" s="138"/>
      <c r="J33" s="139"/>
      <c r="K33" s="140"/>
      <c r="L33" s="141"/>
      <c r="M33" s="171"/>
      <c r="N33" s="182"/>
      <c r="O33" s="107"/>
      <c r="P33" s="107"/>
      <c r="Q33" s="94"/>
      <c r="R33" s="94"/>
    </row>
    <row r="34" spans="1:21">
      <c r="A34" s="21"/>
      <c r="B34" s="4"/>
      <c r="C34" s="62"/>
      <c r="D34" s="16" t="s">
        <v>54</v>
      </c>
      <c r="E34" s="24" t="s">
        <v>475</v>
      </c>
      <c r="F34" s="25" t="s">
        <v>476</v>
      </c>
      <c r="G34" s="88"/>
      <c r="H34" s="29"/>
      <c r="I34" s="138"/>
      <c r="J34" s="139"/>
      <c r="K34" s="140"/>
      <c r="L34" s="141"/>
      <c r="M34" s="171"/>
      <c r="N34" s="182"/>
      <c r="O34" s="107"/>
      <c r="P34" s="107"/>
      <c r="Q34" s="94"/>
      <c r="R34" s="94"/>
    </row>
    <row r="35" spans="1:21" ht="25.5">
      <c r="A35" s="21" t="s">
        <v>94</v>
      </c>
      <c r="B35" s="19" t="s">
        <v>309</v>
      </c>
      <c r="C35" s="58" t="s">
        <v>437</v>
      </c>
      <c r="D35" s="16">
        <v>1</v>
      </c>
      <c r="E35" s="18" t="s">
        <v>311</v>
      </c>
      <c r="F35" s="17" t="s">
        <v>314</v>
      </c>
      <c r="G35" s="18" t="s">
        <v>43</v>
      </c>
      <c r="H35" s="29" t="s">
        <v>589</v>
      </c>
      <c r="I35" s="138">
        <v>417</v>
      </c>
      <c r="J35" s="139"/>
      <c r="K35" s="140">
        <v>37</v>
      </c>
      <c r="L35" s="141"/>
      <c r="M35" s="171">
        <v>88</v>
      </c>
      <c r="N35" s="182">
        <v>110</v>
      </c>
      <c r="O35" s="94">
        <v>0</v>
      </c>
      <c r="P35" s="94">
        <f>(37-20-5-5-5)*6.46</f>
        <v>12.92</v>
      </c>
      <c r="Q35" s="94">
        <f t="shared" si="0"/>
        <v>88</v>
      </c>
      <c r="R35" s="94">
        <f>N35-P35</f>
        <v>97.08</v>
      </c>
      <c r="S35" s="185" t="s">
        <v>664</v>
      </c>
      <c r="U35" t="s">
        <v>665</v>
      </c>
    </row>
    <row r="36" spans="1:21">
      <c r="A36" s="21"/>
      <c r="B36" s="18" t="s">
        <v>310</v>
      </c>
      <c r="C36" s="58"/>
      <c r="D36" s="16">
        <v>2</v>
      </c>
      <c r="E36" s="18" t="s">
        <v>312</v>
      </c>
      <c r="F36" s="17" t="s">
        <v>315</v>
      </c>
      <c r="G36" s="18" t="s">
        <v>317</v>
      </c>
      <c r="H36" s="29"/>
      <c r="I36" s="138"/>
      <c r="J36" s="139"/>
      <c r="K36" s="140"/>
      <c r="L36" s="141"/>
      <c r="M36" s="171"/>
      <c r="N36" s="182"/>
      <c r="O36" s="107"/>
      <c r="P36" s="107"/>
      <c r="Q36" s="94"/>
      <c r="R36" s="94"/>
    </row>
    <row r="37" spans="1:21">
      <c r="A37" s="21"/>
      <c r="B37" s="18"/>
      <c r="C37" s="58"/>
      <c r="D37" s="16">
        <v>3</v>
      </c>
      <c r="E37" s="18" t="s">
        <v>313</v>
      </c>
      <c r="F37" s="17" t="s">
        <v>316</v>
      </c>
      <c r="G37" s="88"/>
      <c r="H37" s="29"/>
      <c r="I37" s="138"/>
      <c r="J37" s="139"/>
      <c r="K37" s="140"/>
      <c r="L37" s="141"/>
      <c r="M37" s="171"/>
      <c r="N37" s="182"/>
      <c r="O37" s="107"/>
      <c r="P37" s="107"/>
      <c r="Q37" s="94"/>
      <c r="R37" s="94"/>
    </row>
    <row r="38" spans="1:21" s="174" customFormat="1" ht="28.9" customHeight="1">
      <c r="A38" s="186" t="s">
        <v>101</v>
      </c>
      <c r="B38" s="187" t="s">
        <v>150</v>
      </c>
      <c r="C38" s="188" t="s">
        <v>437</v>
      </c>
      <c r="D38" s="189">
        <v>1</v>
      </c>
      <c r="E38" s="187" t="s">
        <v>151</v>
      </c>
      <c r="F38" s="190" t="s">
        <v>154</v>
      </c>
      <c r="G38" s="187" t="s">
        <v>43</v>
      </c>
      <c r="H38" s="191" t="s">
        <v>576</v>
      </c>
      <c r="I38" s="192">
        <v>516</v>
      </c>
      <c r="J38" s="193"/>
      <c r="K38" s="194">
        <v>55.8</v>
      </c>
      <c r="L38" s="195"/>
      <c r="M38" s="182">
        <v>22</v>
      </c>
      <c r="N38" s="182">
        <v>42</v>
      </c>
      <c r="O38" s="180">
        <v>0</v>
      </c>
      <c r="P38" s="180">
        <f>(37-20-5-5-5)*5.04</f>
        <v>10.08</v>
      </c>
      <c r="Q38" s="180">
        <f t="shared" si="0"/>
        <v>22</v>
      </c>
      <c r="R38" s="180">
        <f t="shared" si="1"/>
        <v>31.92</v>
      </c>
    </row>
    <row r="39" spans="1:21">
      <c r="A39" s="21"/>
      <c r="B39" s="18"/>
      <c r="C39" s="58"/>
      <c r="D39" s="16">
        <v>2</v>
      </c>
      <c r="E39" s="18" t="s">
        <v>152</v>
      </c>
      <c r="F39" s="17" t="s">
        <v>155</v>
      </c>
      <c r="G39" s="18" t="s">
        <v>590</v>
      </c>
      <c r="H39" s="29"/>
      <c r="I39" s="138"/>
      <c r="J39" s="139"/>
      <c r="K39" s="140"/>
      <c r="L39" s="141"/>
      <c r="M39" s="171"/>
      <c r="N39" s="182"/>
      <c r="O39" s="107"/>
      <c r="P39" s="107"/>
      <c r="Q39" s="94"/>
      <c r="R39" s="94"/>
    </row>
    <row r="40" spans="1:21">
      <c r="A40" s="21"/>
      <c r="B40" s="18"/>
      <c r="C40" s="58"/>
      <c r="D40" s="16">
        <v>3</v>
      </c>
      <c r="E40" s="18" t="s">
        <v>153</v>
      </c>
      <c r="F40" s="17" t="s">
        <v>156</v>
      </c>
      <c r="G40" s="88"/>
      <c r="H40" s="29"/>
      <c r="I40" s="138"/>
      <c r="J40" s="139"/>
      <c r="K40" s="140"/>
      <c r="L40" s="141"/>
      <c r="M40" s="171"/>
      <c r="N40" s="182"/>
      <c r="O40" s="107"/>
      <c r="P40" s="107"/>
      <c r="Q40" s="94"/>
      <c r="R40" s="94"/>
    </row>
    <row r="41" spans="1:21" ht="28.15" customHeight="1">
      <c r="A41" s="21" t="s">
        <v>102</v>
      </c>
      <c r="B41" s="40" t="s">
        <v>374</v>
      </c>
      <c r="C41" s="58" t="s">
        <v>437</v>
      </c>
      <c r="D41" s="16">
        <v>1</v>
      </c>
      <c r="E41" s="18" t="s">
        <v>375</v>
      </c>
      <c r="F41" s="17" t="s">
        <v>377</v>
      </c>
      <c r="G41" s="18" t="s">
        <v>373</v>
      </c>
      <c r="H41" s="29" t="s">
        <v>591</v>
      </c>
      <c r="I41" s="138">
        <v>680</v>
      </c>
      <c r="J41" s="139"/>
      <c r="K41" s="140">
        <v>44.5</v>
      </c>
      <c r="L41" s="141"/>
      <c r="M41" s="171">
        <v>0</v>
      </c>
      <c r="N41" s="182">
        <v>79</v>
      </c>
      <c r="O41" s="94">
        <f>(680-600)*70.53*0.3%</f>
        <v>16.927199999999999</v>
      </c>
      <c r="P41" s="94">
        <f>(44.5-20-7-7-7)*5.04</f>
        <v>17.64</v>
      </c>
      <c r="Q41" s="94">
        <v>0</v>
      </c>
      <c r="R41" s="94">
        <f t="shared" si="1"/>
        <v>61.36</v>
      </c>
    </row>
    <row r="42" spans="1:21">
      <c r="A42" s="21"/>
      <c r="B42" s="40"/>
      <c r="C42" s="63"/>
      <c r="D42" s="9">
        <v>2</v>
      </c>
      <c r="E42" s="40" t="s">
        <v>376</v>
      </c>
      <c r="F42" s="11" t="s">
        <v>416</v>
      </c>
      <c r="G42" s="40" t="s">
        <v>378</v>
      </c>
      <c r="H42" s="29"/>
      <c r="I42" s="138"/>
      <c r="J42" s="139"/>
      <c r="K42" s="140"/>
      <c r="L42" s="141"/>
      <c r="M42" s="171"/>
      <c r="N42" s="182"/>
      <c r="O42" s="107"/>
      <c r="P42" s="107"/>
      <c r="Q42" s="94"/>
      <c r="R42" s="94"/>
    </row>
    <row r="43" spans="1:21" ht="18" customHeight="1">
      <c r="A43" s="41"/>
      <c r="B43" s="48"/>
      <c r="C43" s="64"/>
      <c r="D43" s="27" t="s">
        <v>54</v>
      </c>
      <c r="E43" s="48" t="s">
        <v>485</v>
      </c>
      <c r="F43" s="11" t="s">
        <v>486</v>
      </c>
      <c r="G43" s="88"/>
      <c r="H43" s="29"/>
      <c r="I43" s="138"/>
      <c r="J43" s="139"/>
      <c r="K43" s="140"/>
      <c r="L43" s="141"/>
      <c r="M43" s="171"/>
      <c r="N43" s="182"/>
      <c r="O43" s="107"/>
      <c r="P43" s="107"/>
      <c r="Q43" s="94"/>
      <c r="R43" s="94"/>
    </row>
    <row r="44" spans="1:21" s="118" customFormat="1" ht="25.5">
      <c r="A44" s="155" t="s">
        <v>113</v>
      </c>
      <c r="B44" s="113" t="s">
        <v>201</v>
      </c>
      <c r="C44" s="114" t="s">
        <v>437</v>
      </c>
      <c r="D44" s="112">
        <v>1</v>
      </c>
      <c r="E44" s="113" t="s">
        <v>538</v>
      </c>
      <c r="F44" s="113" t="s">
        <v>539</v>
      </c>
      <c r="G44" s="115" t="s">
        <v>373</v>
      </c>
      <c r="H44" s="116" t="s">
        <v>592</v>
      </c>
      <c r="I44" s="142">
        <v>900</v>
      </c>
      <c r="J44" s="143"/>
      <c r="K44" s="144">
        <v>46.8</v>
      </c>
      <c r="L44" s="144"/>
      <c r="M44" s="172">
        <v>190</v>
      </c>
      <c r="N44" s="183">
        <v>0</v>
      </c>
      <c r="O44" s="117">
        <f>(900-600)*70.53*0.3%</f>
        <v>63.477000000000004</v>
      </c>
      <c r="P44" s="117">
        <f>(46.8-20-5-5-5)*5.04</f>
        <v>59.471999999999987</v>
      </c>
      <c r="Q44" s="94">
        <f t="shared" si="0"/>
        <v>126.523</v>
      </c>
      <c r="R44" s="94">
        <v>0</v>
      </c>
    </row>
    <row r="45" spans="1:21">
      <c r="A45" s="21"/>
      <c r="B45" s="22" t="s">
        <v>654</v>
      </c>
      <c r="C45" s="63"/>
      <c r="D45" s="9">
        <v>2</v>
      </c>
      <c r="E45" s="22" t="s">
        <v>202</v>
      </c>
      <c r="F45" s="22" t="s">
        <v>540</v>
      </c>
      <c r="G45" s="40" t="s">
        <v>29</v>
      </c>
      <c r="H45" s="29"/>
      <c r="I45" s="138"/>
      <c r="J45" s="139"/>
      <c r="K45" s="140"/>
      <c r="L45" s="141"/>
      <c r="M45" s="171"/>
      <c r="N45" s="182"/>
      <c r="O45" s="107"/>
      <c r="P45" s="107"/>
      <c r="Q45" s="94"/>
      <c r="R45" s="94"/>
    </row>
    <row r="46" spans="1:21">
      <c r="A46" s="21"/>
      <c r="B46" s="40"/>
      <c r="C46" s="63"/>
      <c r="D46" s="9">
        <v>3</v>
      </c>
      <c r="E46" s="22" t="s">
        <v>541</v>
      </c>
      <c r="F46" s="22" t="s">
        <v>542</v>
      </c>
      <c r="G46" s="88"/>
      <c r="H46" s="29"/>
      <c r="I46" s="138"/>
      <c r="J46" s="139"/>
      <c r="K46" s="140"/>
      <c r="L46" s="141"/>
      <c r="M46" s="171"/>
      <c r="N46" s="182"/>
      <c r="O46" s="107"/>
      <c r="P46" s="107"/>
      <c r="Q46" s="94"/>
      <c r="R46" s="94"/>
    </row>
    <row r="47" spans="1:21" ht="25.5">
      <c r="A47" s="21" t="s">
        <v>122</v>
      </c>
      <c r="B47" s="19" t="s">
        <v>335</v>
      </c>
      <c r="C47" s="58" t="s">
        <v>437</v>
      </c>
      <c r="D47" s="16">
        <v>1</v>
      </c>
      <c r="E47" s="18" t="s">
        <v>337</v>
      </c>
      <c r="F47" s="17" t="s">
        <v>339</v>
      </c>
      <c r="G47" s="18" t="s">
        <v>43</v>
      </c>
      <c r="H47" s="29" t="s">
        <v>594</v>
      </c>
      <c r="I47" s="138">
        <v>787</v>
      </c>
      <c r="J47" s="139"/>
      <c r="K47" s="140">
        <v>53.7</v>
      </c>
      <c r="L47" s="141"/>
      <c r="M47" s="171">
        <v>167</v>
      </c>
      <c r="N47" s="182">
        <v>40</v>
      </c>
      <c r="O47" s="94">
        <f>(787-600)*70.53*0.3%</f>
        <v>39.567330000000005</v>
      </c>
      <c r="P47" s="94">
        <f>(53.7-20-5-5-5)*5.04</f>
        <v>94.248000000000019</v>
      </c>
      <c r="Q47" s="94">
        <f t="shared" si="0"/>
        <v>127.43267</v>
      </c>
      <c r="R47" s="94">
        <v>0</v>
      </c>
    </row>
    <row r="48" spans="1:21">
      <c r="A48" s="21"/>
      <c r="B48" s="18" t="s">
        <v>336</v>
      </c>
      <c r="C48" s="58"/>
      <c r="D48" s="16">
        <v>2</v>
      </c>
      <c r="E48" s="18" t="s">
        <v>338</v>
      </c>
      <c r="F48" s="17" t="s">
        <v>340</v>
      </c>
      <c r="G48" s="18" t="s">
        <v>593</v>
      </c>
      <c r="H48" s="29"/>
      <c r="I48" s="138"/>
      <c r="J48" s="139"/>
      <c r="K48" s="140"/>
      <c r="L48" s="141"/>
      <c r="M48" s="171"/>
      <c r="N48" s="182"/>
      <c r="O48" s="107"/>
      <c r="P48" s="107"/>
      <c r="Q48" s="94"/>
      <c r="R48" s="94"/>
    </row>
    <row r="49" spans="1:18">
      <c r="A49" s="21"/>
      <c r="B49" s="18"/>
      <c r="C49" s="58"/>
      <c r="D49" s="16">
        <v>3</v>
      </c>
      <c r="E49" s="18" t="s">
        <v>390</v>
      </c>
      <c r="F49" s="17" t="s">
        <v>341</v>
      </c>
      <c r="G49" s="18"/>
      <c r="H49" s="29"/>
      <c r="I49" s="138"/>
      <c r="J49" s="139"/>
      <c r="K49" s="140"/>
      <c r="L49" s="141"/>
      <c r="M49" s="171"/>
      <c r="N49" s="182"/>
      <c r="O49" s="107"/>
      <c r="P49" s="107"/>
      <c r="Q49" s="94"/>
      <c r="R49" s="94"/>
    </row>
    <row r="50" spans="1:18" ht="25.5">
      <c r="A50" s="21" t="s">
        <v>133</v>
      </c>
      <c r="B50" s="18" t="s">
        <v>370</v>
      </c>
      <c r="C50" s="58" t="s">
        <v>437</v>
      </c>
      <c r="D50" s="16">
        <v>1</v>
      </c>
      <c r="E50" s="18" t="s">
        <v>371</v>
      </c>
      <c r="F50" s="11" t="s">
        <v>372</v>
      </c>
      <c r="G50" s="40" t="s">
        <v>373</v>
      </c>
      <c r="H50" s="29" t="s">
        <v>595</v>
      </c>
      <c r="I50" s="138">
        <v>1121</v>
      </c>
      <c r="J50" s="139"/>
      <c r="K50" s="140">
        <v>46</v>
      </c>
      <c r="L50" s="141"/>
      <c r="M50" s="171">
        <v>237</v>
      </c>
      <c r="N50" s="182">
        <v>140</v>
      </c>
      <c r="O50" s="94">
        <f>(1121-600)*70.53*0.3%</f>
        <v>110.23839</v>
      </c>
      <c r="P50" s="94">
        <f>(46-20-7-7-7)*5.04</f>
        <v>25.2</v>
      </c>
      <c r="Q50" s="94">
        <f t="shared" si="0"/>
        <v>126.76161</v>
      </c>
      <c r="R50" s="94">
        <f t="shared" si="1"/>
        <v>114.8</v>
      </c>
    </row>
    <row r="51" spans="1:18">
      <c r="A51" s="21"/>
      <c r="B51" s="18"/>
      <c r="C51" s="58"/>
      <c r="D51" s="33">
        <v>2</v>
      </c>
      <c r="E51" s="37" t="s">
        <v>497</v>
      </c>
      <c r="F51" s="11" t="s">
        <v>30</v>
      </c>
      <c r="G51" s="40" t="s">
        <v>211</v>
      </c>
      <c r="H51" s="29"/>
      <c r="I51" s="138"/>
      <c r="J51" s="139"/>
      <c r="K51" s="140"/>
      <c r="L51" s="141"/>
      <c r="M51" s="171"/>
      <c r="N51" s="182"/>
      <c r="O51" s="107"/>
      <c r="P51" s="107"/>
      <c r="Q51" s="94"/>
      <c r="R51" s="94"/>
    </row>
    <row r="52" spans="1:18">
      <c r="A52" s="21"/>
      <c r="B52" s="37"/>
      <c r="C52" s="60"/>
      <c r="D52" s="33">
        <v>3</v>
      </c>
      <c r="E52" s="50" t="s">
        <v>498</v>
      </c>
      <c r="F52" s="22" t="s">
        <v>499</v>
      </c>
      <c r="G52" s="88"/>
      <c r="H52" s="29"/>
      <c r="I52" s="138"/>
      <c r="J52" s="139"/>
      <c r="K52" s="140"/>
      <c r="L52" s="141"/>
      <c r="M52" s="171"/>
      <c r="N52" s="182"/>
      <c r="O52" s="107"/>
      <c r="P52" s="107"/>
      <c r="Q52" s="94"/>
      <c r="R52" s="94"/>
    </row>
    <row r="53" spans="1:18" ht="29.45" customHeight="1">
      <c r="A53" s="21" t="s">
        <v>140</v>
      </c>
      <c r="B53" s="19" t="s">
        <v>35</v>
      </c>
      <c r="C53" s="58" t="s">
        <v>437</v>
      </c>
      <c r="D53" s="16">
        <v>1</v>
      </c>
      <c r="E53" s="18" t="s">
        <v>342</v>
      </c>
      <c r="F53" s="17" t="s">
        <v>345</v>
      </c>
      <c r="G53" s="18" t="s">
        <v>43</v>
      </c>
      <c r="H53" s="29" t="s">
        <v>576</v>
      </c>
      <c r="I53" s="138">
        <v>500</v>
      </c>
      <c r="J53" s="139"/>
      <c r="K53" s="140">
        <v>44.5</v>
      </c>
      <c r="L53" s="141"/>
      <c r="M53" s="171">
        <v>35</v>
      </c>
      <c r="N53" s="182">
        <v>47</v>
      </c>
      <c r="O53" s="94">
        <v>0</v>
      </c>
      <c r="P53" s="94">
        <f>(44.5-20-7-7-7)*5.04</f>
        <v>17.64</v>
      </c>
      <c r="Q53" s="94">
        <f t="shared" si="0"/>
        <v>35</v>
      </c>
      <c r="R53" s="94">
        <f t="shared" si="1"/>
        <v>29.36</v>
      </c>
    </row>
    <row r="54" spans="1:18">
      <c r="A54" s="21"/>
      <c r="B54" s="18" t="s">
        <v>495</v>
      </c>
      <c r="C54" s="58"/>
      <c r="D54" s="16">
        <v>2</v>
      </c>
      <c r="E54" s="18" t="s">
        <v>343</v>
      </c>
      <c r="F54" s="17" t="s">
        <v>346</v>
      </c>
      <c r="G54" s="18" t="s">
        <v>347</v>
      </c>
      <c r="H54" s="29"/>
      <c r="I54" s="138"/>
      <c r="J54" s="139"/>
      <c r="K54" s="140"/>
      <c r="L54" s="141"/>
      <c r="M54" s="171"/>
      <c r="N54" s="182"/>
      <c r="O54" s="107"/>
      <c r="P54" s="107"/>
      <c r="Q54" s="94"/>
      <c r="R54" s="94"/>
    </row>
    <row r="55" spans="1:18">
      <c r="A55" s="41"/>
      <c r="B55" s="37"/>
      <c r="C55" s="60"/>
      <c r="D55" s="33">
        <v>3</v>
      </c>
      <c r="E55" s="44" t="s">
        <v>344</v>
      </c>
      <c r="F55" s="17" t="s">
        <v>23</v>
      </c>
      <c r="G55" s="88"/>
      <c r="H55" s="29"/>
      <c r="I55" s="138"/>
      <c r="J55" s="139"/>
      <c r="K55" s="140"/>
      <c r="L55" s="141"/>
      <c r="M55" s="171"/>
      <c r="N55" s="182"/>
      <c r="O55" s="107"/>
      <c r="P55" s="107"/>
      <c r="Q55" s="94"/>
      <c r="R55" s="94"/>
    </row>
    <row r="56" spans="1:18" ht="25.5">
      <c r="A56" s="21" t="s">
        <v>141</v>
      </c>
      <c r="B56" s="32" t="s">
        <v>446</v>
      </c>
      <c r="C56" s="58" t="s">
        <v>437</v>
      </c>
      <c r="D56" s="16" t="s">
        <v>42</v>
      </c>
      <c r="E56" s="32" t="s">
        <v>447</v>
      </c>
      <c r="F56" s="32" t="s">
        <v>567</v>
      </c>
      <c r="G56" s="18" t="s">
        <v>43</v>
      </c>
      <c r="H56" s="29" t="s">
        <v>597</v>
      </c>
      <c r="I56" s="138">
        <v>900</v>
      </c>
      <c r="J56" s="139"/>
      <c r="K56" s="140">
        <v>35</v>
      </c>
      <c r="L56" s="141"/>
      <c r="M56" s="171">
        <v>190</v>
      </c>
      <c r="N56" s="182">
        <v>0</v>
      </c>
      <c r="O56" s="94">
        <f>(900-600)*70.53*0.3%</f>
        <v>63.477000000000004</v>
      </c>
      <c r="P56" s="94">
        <f>(35-20-5-5-5)*5.04</f>
        <v>0</v>
      </c>
      <c r="Q56" s="94">
        <f t="shared" si="0"/>
        <v>126.523</v>
      </c>
      <c r="R56" s="94">
        <f t="shared" si="1"/>
        <v>0</v>
      </c>
    </row>
    <row r="57" spans="1:18">
      <c r="A57" s="21"/>
      <c r="B57" s="18"/>
      <c r="C57" s="58"/>
      <c r="D57" s="16" t="s">
        <v>44</v>
      </c>
      <c r="E57" s="32" t="s">
        <v>513</v>
      </c>
      <c r="F57" s="32" t="s">
        <v>568</v>
      </c>
      <c r="G57" s="18" t="s">
        <v>448</v>
      </c>
      <c r="H57" s="29"/>
      <c r="I57" s="138"/>
      <c r="J57" s="139"/>
      <c r="K57" s="140"/>
      <c r="L57" s="141"/>
      <c r="M57" s="171"/>
      <c r="N57" s="182"/>
      <c r="O57" s="107"/>
      <c r="P57" s="107"/>
      <c r="Q57" s="94"/>
      <c r="R57" s="94"/>
    </row>
    <row r="58" spans="1:18">
      <c r="A58" s="21"/>
      <c r="B58" s="18"/>
      <c r="C58" s="58"/>
      <c r="D58" s="16" t="s">
        <v>54</v>
      </c>
      <c r="E58" s="32" t="s">
        <v>514</v>
      </c>
      <c r="F58" s="32" t="s">
        <v>477</v>
      </c>
      <c r="G58" s="88"/>
      <c r="H58" s="29"/>
      <c r="I58" s="138"/>
      <c r="J58" s="139"/>
      <c r="K58" s="140"/>
      <c r="L58" s="141"/>
      <c r="M58" s="171"/>
      <c r="N58" s="182"/>
      <c r="O58" s="107"/>
      <c r="P58" s="107"/>
      <c r="Q58" s="94"/>
      <c r="R58" s="94"/>
    </row>
    <row r="59" spans="1:18" ht="25.5">
      <c r="A59" s="21" t="s">
        <v>147</v>
      </c>
      <c r="B59" s="18" t="s">
        <v>398</v>
      </c>
      <c r="C59" s="58" t="s">
        <v>437</v>
      </c>
      <c r="D59" s="16" t="s">
        <v>42</v>
      </c>
      <c r="E59" s="18" t="s">
        <v>24</v>
      </c>
      <c r="F59" s="17" t="s">
        <v>27</v>
      </c>
      <c r="G59" s="18" t="s">
        <v>43</v>
      </c>
      <c r="H59" s="29" t="s">
        <v>596</v>
      </c>
      <c r="I59" s="138">
        <v>750</v>
      </c>
      <c r="J59" s="139"/>
      <c r="K59" s="140">
        <v>45</v>
      </c>
      <c r="L59" s="141"/>
      <c r="M59" s="171">
        <v>152</v>
      </c>
      <c r="N59" s="182">
        <v>215</v>
      </c>
      <c r="O59" s="94">
        <f>(750-600)*70.53*0.3%</f>
        <v>31.738500000000002</v>
      </c>
      <c r="P59" s="94">
        <f>(45-20-7-7-7)*5.04</f>
        <v>20.16</v>
      </c>
      <c r="Q59" s="94">
        <f t="shared" si="0"/>
        <v>120.2615</v>
      </c>
      <c r="R59" s="94">
        <f t="shared" si="1"/>
        <v>194.84</v>
      </c>
    </row>
    <row r="60" spans="1:18">
      <c r="A60" s="21"/>
      <c r="B60" s="18" t="s">
        <v>388</v>
      </c>
      <c r="C60" s="58"/>
      <c r="D60" s="16" t="s">
        <v>44</v>
      </c>
      <c r="E60" s="18" t="s">
        <v>389</v>
      </c>
      <c r="F60" s="17" t="s">
        <v>406</v>
      </c>
      <c r="G60" s="18" t="s">
        <v>598</v>
      </c>
      <c r="H60" s="29"/>
      <c r="I60" s="138"/>
      <c r="J60" s="139"/>
      <c r="K60" s="140"/>
      <c r="L60" s="141"/>
      <c r="M60" s="171"/>
      <c r="N60" s="182"/>
      <c r="O60" s="107"/>
      <c r="P60" s="107"/>
      <c r="Q60" s="94"/>
      <c r="R60" s="94"/>
    </row>
    <row r="61" spans="1:18">
      <c r="A61" s="21"/>
      <c r="B61" s="18"/>
      <c r="C61" s="58"/>
      <c r="D61" s="16" t="s">
        <v>54</v>
      </c>
      <c r="E61" s="18" t="s">
        <v>25</v>
      </c>
      <c r="F61" s="17" t="s">
        <v>26</v>
      </c>
      <c r="G61" s="88"/>
      <c r="H61" s="29"/>
      <c r="I61" s="138"/>
      <c r="J61" s="139"/>
      <c r="K61" s="140"/>
      <c r="L61" s="141"/>
      <c r="M61" s="171"/>
      <c r="N61" s="182"/>
      <c r="O61" s="107"/>
      <c r="P61" s="107"/>
      <c r="Q61" s="94"/>
      <c r="R61" s="94"/>
    </row>
    <row r="62" spans="1:18" ht="28.9" customHeight="1">
      <c r="A62" s="21" t="s">
        <v>148</v>
      </c>
      <c r="B62" s="22" t="s">
        <v>204</v>
      </c>
      <c r="C62" s="58" t="s">
        <v>437</v>
      </c>
      <c r="D62" s="16" t="s">
        <v>42</v>
      </c>
      <c r="E62" s="22" t="s">
        <v>206</v>
      </c>
      <c r="F62" s="42">
        <v>39351</v>
      </c>
      <c r="G62" s="40" t="s">
        <v>373</v>
      </c>
      <c r="H62" s="29" t="s">
        <v>578</v>
      </c>
      <c r="I62" s="138">
        <v>1184</v>
      </c>
      <c r="J62" s="139"/>
      <c r="K62" s="140">
        <v>43.8</v>
      </c>
      <c r="L62" s="141"/>
      <c r="M62" s="171">
        <v>49</v>
      </c>
      <c r="N62" s="182">
        <v>30</v>
      </c>
      <c r="O62" s="94">
        <f>(1184-600)*70.53*0.3%</f>
        <v>123.56856000000002</v>
      </c>
      <c r="P62" s="94">
        <f>(43.8-20-7-7-7)*5.04</f>
        <v>14.111999999999986</v>
      </c>
      <c r="Q62" s="94">
        <v>0</v>
      </c>
      <c r="R62" s="94">
        <f t="shared" si="1"/>
        <v>15.888000000000014</v>
      </c>
    </row>
    <row r="63" spans="1:18">
      <c r="A63" s="21"/>
      <c r="B63" s="22" t="s">
        <v>205</v>
      </c>
      <c r="C63" s="58"/>
      <c r="D63" s="16" t="s">
        <v>44</v>
      </c>
      <c r="E63" s="22" t="s">
        <v>207</v>
      </c>
      <c r="F63" s="42">
        <v>40044</v>
      </c>
      <c r="G63" s="40" t="s">
        <v>387</v>
      </c>
      <c r="H63" s="29"/>
      <c r="I63" s="138"/>
      <c r="J63" s="139"/>
      <c r="K63" s="140"/>
      <c r="L63" s="141"/>
      <c r="M63" s="171"/>
      <c r="N63" s="182"/>
      <c r="O63" s="107"/>
      <c r="P63" s="107"/>
      <c r="Q63" s="94"/>
      <c r="R63" s="94"/>
    </row>
    <row r="64" spans="1:18">
      <c r="A64" s="41"/>
      <c r="B64" s="22"/>
      <c r="C64" s="58"/>
      <c r="D64" s="16" t="s">
        <v>54</v>
      </c>
      <c r="E64" s="22" t="s">
        <v>508</v>
      </c>
      <c r="F64" s="42">
        <v>42852</v>
      </c>
      <c r="G64" s="88"/>
      <c r="H64" s="29"/>
      <c r="I64" s="138"/>
      <c r="J64" s="139"/>
      <c r="K64" s="140"/>
      <c r="L64" s="141"/>
      <c r="M64" s="171"/>
      <c r="N64" s="182"/>
      <c r="O64" s="107"/>
      <c r="P64" s="107"/>
      <c r="Q64" s="94"/>
      <c r="R64" s="94"/>
    </row>
    <row r="65" spans="1:18" ht="25.9" customHeight="1">
      <c r="A65" s="41" t="s">
        <v>149</v>
      </c>
      <c r="B65" s="18" t="s">
        <v>395</v>
      </c>
      <c r="C65" s="58" t="s">
        <v>437</v>
      </c>
      <c r="D65" s="16">
        <v>1</v>
      </c>
      <c r="E65" s="18" t="s">
        <v>350</v>
      </c>
      <c r="F65" s="17" t="s">
        <v>355</v>
      </c>
      <c r="G65" s="18" t="s">
        <v>43</v>
      </c>
      <c r="H65" s="29" t="s">
        <v>600</v>
      </c>
      <c r="I65" s="138">
        <v>658</v>
      </c>
      <c r="J65" s="139"/>
      <c r="K65" s="140">
        <v>38.700000000000003</v>
      </c>
      <c r="L65" s="141"/>
      <c r="M65" s="171">
        <v>76</v>
      </c>
      <c r="N65" s="182">
        <v>16</v>
      </c>
      <c r="O65" s="94">
        <f>(658-600)*70.53*0.3%</f>
        <v>12.272220000000001</v>
      </c>
      <c r="P65" s="94">
        <v>0</v>
      </c>
      <c r="Q65" s="94">
        <f t="shared" si="0"/>
        <v>63.727779999999996</v>
      </c>
      <c r="R65" s="94">
        <f t="shared" si="1"/>
        <v>16</v>
      </c>
    </row>
    <row r="66" spans="1:18">
      <c r="A66" s="41"/>
      <c r="B66" s="19" t="s">
        <v>649</v>
      </c>
      <c r="C66" s="58"/>
      <c r="D66" s="16">
        <v>2</v>
      </c>
      <c r="E66" s="18" t="s">
        <v>351</v>
      </c>
      <c r="F66" s="17" t="s">
        <v>356</v>
      </c>
      <c r="G66" s="18" t="s">
        <v>599</v>
      </c>
      <c r="H66" s="29"/>
      <c r="I66" s="138"/>
      <c r="J66" s="139"/>
      <c r="K66" s="140"/>
      <c r="L66" s="141"/>
      <c r="M66" s="171"/>
      <c r="N66" s="182"/>
      <c r="O66" s="107"/>
      <c r="P66" s="107"/>
      <c r="Q66" s="94"/>
      <c r="R66" s="94"/>
    </row>
    <row r="67" spans="1:18">
      <c r="A67" s="41"/>
      <c r="B67" s="44"/>
      <c r="C67" s="60"/>
      <c r="D67" s="33">
        <v>3</v>
      </c>
      <c r="E67" s="37" t="s">
        <v>352</v>
      </c>
      <c r="F67" s="17" t="s">
        <v>357</v>
      </c>
      <c r="G67" s="88"/>
      <c r="H67" s="29"/>
      <c r="I67" s="138"/>
      <c r="J67" s="139"/>
      <c r="K67" s="140"/>
      <c r="L67" s="141"/>
      <c r="M67" s="171"/>
      <c r="N67" s="182"/>
      <c r="O67" s="107"/>
      <c r="P67" s="107"/>
      <c r="Q67" s="94"/>
      <c r="R67" s="94"/>
    </row>
    <row r="68" spans="1:18" s="105" customFormat="1" ht="25.5">
      <c r="A68" s="156" t="s">
        <v>157</v>
      </c>
      <c r="B68" s="110" t="s">
        <v>543</v>
      </c>
      <c r="C68" s="99" t="s">
        <v>437</v>
      </c>
      <c r="D68" s="100" t="s">
        <v>42</v>
      </c>
      <c r="E68" s="110" t="s">
        <v>434</v>
      </c>
      <c r="F68" s="110" t="s">
        <v>529</v>
      </c>
      <c r="G68" s="101" t="s">
        <v>43</v>
      </c>
      <c r="H68" s="102" t="s">
        <v>588</v>
      </c>
      <c r="I68" s="142">
        <v>1072</v>
      </c>
      <c r="J68" s="143"/>
      <c r="K68" s="144">
        <v>127.6</v>
      </c>
      <c r="L68" s="149"/>
      <c r="M68" s="171">
        <v>151</v>
      </c>
      <c r="N68" s="182">
        <v>57</v>
      </c>
      <c r="O68" s="104">
        <f>(1072-600)*70.53*0.3%</f>
        <v>99.870480000000015</v>
      </c>
      <c r="P68" s="104">
        <f>(127.6-20-5-5-5)*5.04</f>
        <v>466.70399999999995</v>
      </c>
      <c r="Q68" s="104">
        <f t="shared" si="0"/>
        <v>51.129519999999985</v>
      </c>
      <c r="R68" s="104">
        <v>0</v>
      </c>
    </row>
    <row r="69" spans="1:18">
      <c r="A69" s="21"/>
      <c r="B69" s="19"/>
      <c r="C69" s="58"/>
      <c r="D69" s="16" t="s">
        <v>44</v>
      </c>
      <c r="E69" s="22" t="s">
        <v>31</v>
      </c>
      <c r="F69" s="22" t="s">
        <v>530</v>
      </c>
      <c r="G69" s="18" t="s">
        <v>353</v>
      </c>
      <c r="H69" s="29"/>
      <c r="I69" s="138"/>
      <c r="J69" s="139"/>
      <c r="K69" s="140"/>
      <c r="L69" s="141"/>
      <c r="M69" s="171"/>
      <c r="N69" s="182"/>
      <c r="O69" s="107"/>
      <c r="P69" s="107"/>
      <c r="Q69" s="94"/>
      <c r="R69" s="94"/>
    </row>
    <row r="70" spans="1:18">
      <c r="A70" s="21"/>
      <c r="B70" s="44"/>
      <c r="C70" s="60"/>
      <c r="D70" s="33" t="s">
        <v>54</v>
      </c>
      <c r="E70" s="50" t="s">
        <v>544</v>
      </c>
      <c r="F70" s="22" t="s">
        <v>545</v>
      </c>
      <c r="G70" s="88"/>
      <c r="H70" s="29"/>
      <c r="I70" s="138"/>
      <c r="J70" s="139"/>
      <c r="K70" s="140"/>
      <c r="L70" s="141"/>
      <c r="M70" s="171"/>
      <c r="N70" s="182"/>
      <c r="O70" s="107"/>
      <c r="P70" s="107"/>
      <c r="Q70" s="94"/>
      <c r="R70" s="94"/>
    </row>
    <row r="71" spans="1:18" s="105" customFormat="1" ht="25.5">
      <c r="A71" s="157" t="s">
        <v>169</v>
      </c>
      <c r="B71" s="98" t="s">
        <v>404</v>
      </c>
      <c r="C71" s="99" t="s">
        <v>437</v>
      </c>
      <c r="D71" s="100" t="s">
        <v>42</v>
      </c>
      <c r="E71" s="98" t="s">
        <v>405</v>
      </c>
      <c r="F71" s="98" t="s">
        <v>561</v>
      </c>
      <c r="G71" s="101" t="s">
        <v>43</v>
      </c>
      <c r="H71" s="102" t="s">
        <v>601</v>
      </c>
      <c r="I71" s="142">
        <v>520</v>
      </c>
      <c r="J71" s="143"/>
      <c r="K71" s="144">
        <v>38.799999999999997</v>
      </c>
      <c r="L71" s="149"/>
      <c r="M71" s="171">
        <v>0</v>
      </c>
      <c r="N71" s="182">
        <v>283</v>
      </c>
      <c r="O71" s="104">
        <v>0</v>
      </c>
      <c r="P71" s="104">
        <v>0</v>
      </c>
      <c r="Q71" s="94">
        <f t="shared" si="0"/>
        <v>0</v>
      </c>
      <c r="R71" s="94">
        <f t="shared" si="1"/>
        <v>283</v>
      </c>
    </row>
    <row r="72" spans="1:18">
      <c r="A72" s="154"/>
      <c r="B72" s="32" t="s">
        <v>650</v>
      </c>
      <c r="C72" s="58"/>
      <c r="D72" s="16" t="s">
        <v>44</v>
      </c>
      <c r="E72" s="32" t="s">
        <v>562</v>
      </c>
      <c r="F72" s="32" t="s">
        <v>563</v>
      </c>
      <c r="G72" s="18" t="s">
        <v>566</v>
      </c>
      <c r="H72" s="29"/>
      <c r="I72" s="138"/>
      <c r="J72" s="139"/>
      <c r="K72" s="140"/>
      <c r="L72" s="141"/>
      <c r="M72" s="171"/>
      <c r="N72" s="182"/>
      <c r="O72" s="107"/>
      <c r="P72" s="107"/>
      <c r="Q72" s="94"/>
      <c r="R72" s="94"/>
    </row>
    <row r="73" spans="1:18">
      <c r="A73" s="154"/>
      <c r="B73" s="19"/>
      <c r="C73" s="58"/>
      <c r="D73" s="16" t="s">
        <v>54</v>
      </c>
      <c r="E73" s="32" t="s">
        <v>564</v>
      </c>
      <c r="F73" s="32" t="s">
        <v>565</v>
      </c>
      <c r="G73" s="88"/>
      <c r="H73" s="29"/>
      <c r="I73" s="138"/>
      <c r="J73" s="139"/>
      <c r="K73" s="140"/>
      <c r="L73" s="141"/>
      <c r="M73" s="171"/>
      <c r="N73" s="182"/>
      <c r="O73" s="107"/>
      <c r="P73" s="107"/>
      <c r="Q73" s="94"/>
      <c r="R73" s="94"/>
    </row>
    <row r="74" spans="1:18" ht="28.15" customHeight="1">
      <c r="A74" s="21" t="s">
        <v>176</v>
      </c>
      <c r="B74" s="18" t="s">
        <v>459</v>
      </c>
      <c r="C74" s="58" t="s">
        <v>437</v>
      </c>
      <c r="D74" s="16">
        <v>1</v>
      </c>
      <c r="E74" s="19" t="s">
        <v>460</v>
      </c>
      <c r="F74" s="17" t="s">
        <v>463</v>
      </c>
      <c r="G74" s="18" t="s">
        <v>43</v>
      </c>
      <c r="H74" s="29" t="s">
        <v>584</v>
      </c>
      <c r="I74" s="138">
        <v>1196</v>
      </c>
      <c r="J74" s="139"/>
      <c r="K74" s="140">
        <v>17.2</v>
      </c>
      <c r="L74" s="141"/>
      <c r="M74" s="171">
        <v>40</v>
      </c>
      <c r="N74" s="182">
        <v>0</v>
      </c>
      <c r="O74" s="94">
        <f>(1196-600)*70.53*0.3%</f>
        <v>126.10763999999999</v>
      </c>
      <c r="P74" s="104">
        <v>0</v>
      </c>
      <c r="Q74" s="94">
        <v>0</v>
      </c>
      <c r="R74" s="94">
        <f t="shared" ref="R74:R133" si="2">N74-P74</f>
        <v>0</v>
      </c>
    </row>
    <row r="75" spans="1:18">
      <c r="A75" s="21"/>
      <c r="B75" s="18" t="s">
        <v>512</v>
      </c>
      <c r="C75" s="58"/>
      <c r="D75" s="16">
        <v>2</v>
      </c>
      <c r="E75" s="19" t="s">
        <v>461</v>
      </c>
      <c r="F75" s="17" t="s">
        <v>464</v>
      </c>
      <c r="G75" s="18" t="s">
        <v>466</v>
      </c>
      <c r="H75" s="29"/>
      <c r="I75" s="138"/>
      <c r="J75" s="139"/>
      <c r="K75" s="140"/>
      <c r="L75" s="141"/>
      <c r="M75" s="171"/>
      <c r="N75" s="182"/>
      <c r="O75" s="107"/>
      <c r="P75" s="107"/>
      <c r="Q75" s="94"/>
      <c r="R75" s="94"/>
    </row>
    <row r="76" spans="1:18">
      <c r="A76" s="21"/>
      <c r="B76" s="18"/>
      <c r="C76" s="58"/>
      <c r="D76" s="16">
        <v>3</v>
      </c>
      <c r="E76" s="19" t="s">
        <v>462</v>
      </c>
      <c r="F76" s="17" t="s">
        <v>465</v>
      </c>
      <c r="G76" s="88"/>
      <c r="H76" s="29"/>
      <c r="I76" s="138"/>
      <c r="J76" s="139"/>
      <c r="K76" s="140"/>
      <c r="L76" s="141"/>
      <c r="M76" s="171"/>
      <c r="N76" s="182"/>
      <c r="O76" s="107"/>
      <c r="P76" s="107"/>
      <c r="Q76" s="94"/>
      <c r="R76" s="94"/>
    </row>
    <row r="77" spans="1:18" s="105" customFormat="1" ht="26.25" customHeight="1">
      <c r="A77" s="156" t="s">
        <v>183</v>
      </c>
      <c r="B77" s="101" t="s">
        <v>13</v>
      </c>
      <c r="C77" s="99" t="s">
        <v>437</v>
      </c>
      <c r="D77" s="100" t="s">
        <v>42</v>
      </c>
      <c r="E77" s="101" t="s">
        <v>15</v>
      </c>
      <c r="F77" s="106" t="s">
        <v>209</v>
      </c>
      <c r="G77" s="101" t="s">
        <v>43</v>
      </c>
      <c r="H77" s="102" t="s">
        <v>653</v>
      </c>
      <c r="I77" s="142"/>
      <c r="J77" s="143"/>
      <c r="K77" s="144"/>
      <c r="L77" s="149"/>
      <c r="M77" s="171"/>
      <c r="N77" s="182"/>
      <c r="O77" s="103"/>
      <c r="P77" s="103"/>
      <c r="Q77" s="94"/>
      <c r="R77" s="94"/>
    </row>
    <row r="78" spans="1:18">
      <c r="A78" s="21"/>
      <c r="B78" s="18" t="s">
        <v>14</v>
      </c>
      <c r="C78" s="58"/>
      <c r="D78" s="16" t="s">
        <v>44</v>
      </c>
      <c r="E78" s="18" t="s">
        <v>16</v>
      </c>
      <c r="F78" s="17" t="s">
        <v>18</v>
      </c>
      <c r="G78" s="18" t="s">
        <v>417</v>
      </c>
      <c r="H78" s="29"/>
      <c r="I78" s="138"/>
      <c r="J78" s="139"/>
      <c r="K78" s="140"/>
      <c r="L78" s="141"/>
      <c r="M78" s="171"/>
      <c r="N78" s="182"/>
      <c r="O78" s="107"/>
      <c r="P78" s="107"/>
      <c r="Q78" s="94"/>
      <c r="R78" s="94"/>
    </row>
    <row r="79" spans="1:18">
      <c r="A79" s="41"/>
      <c r="B79" s="37"/>
      <c r="C79" s="60"/>
      <c r="D79" s="33" t="s">
        <v>54</v>
      </c>
      <c r="E79" s="37" t="s">
        <v>17</v>
      </c>
      <c r="F79" s="17" t="s">
        <v>19</v>
      </c>
      <c r="G79" s="88"/>
      <c r="H79" s="29"/>
      <c r="I79" s="138"/>
      <c r="J79" s="139"/>
      <c r="K79" s="140"/>
      <c r="L79" s="141"/>
      <c r="M79" s="171"/>
      <c r="N79" s="182"/>
      <c r="O79" s="107"/>
      <c r="P79" s="107"/>
      <c r="Q79" s="94"/>
      <c r="R79" s="94"/>
    </row>
    <row r="80" spans="1:18" s="105" customFormat="1" ht="25.5">
      <c r="A80" s="156" t="s">
        <v>184</v>
      </c>
      <c r="B80" s="110" t="s">
        <v>496</v>
      </c>
      <c r="C80" s="99" t="s">
        <v>437</v>
      </c>
      <c r="D80" s="100" t="s">
        <v>42</v>
      </c>
      <c r="E80" s="110" t="s">
        <v>435</v>
      </c>
      <c r="F80" s="111">
        <v>39623</v>
      </c>
      <c r="G80" s="101" t="s">
        <v>373</v>
      </c>
      <c r="H80" s="102" t="s">
        <v>588</v>
      </c>
      <c r="I80" s="142">
        <v>634</v>
      </c>
      <c r="J80" s="143"/>
      <c r="K80" s="144">
        <v>58.5</v>
      </c>
      <c r="L80" s="149"/>
      <c r="M80" s="171">
        <v>5</v>
      </c>
      <c r="N80" s="182">
        <v>31</v>
      </c>
      <c r="O80" s="104">
        <f>(634-600)*70.53*0.3%</f>
        <v>7.1940600000000003</v>
      </c>
      <c r="P80" s="104">
        <f>(58.5-20-7-7-7)*5.04</f>
        <v>88.2</v>
      </c>
      <c r="Q80" s="94">
        <v>0</v>
      </c>
      <c r="R80" s="94">
        <v>0</v>
      </c>
    </row>
    <row r="81" spans="1:18">
      <c r="A81" s="21"/>
      <c r="B81" s="18"/>
      <c r="C81" s="58"/>
      <c r="D81" s="16" t="s">
        <v>44</v>
      </c>
      <c r="E81" s="22" t="s">
        <v>494</v>
      </c>
      <c r="F81" s="42">
        <v>41957</v>
      </c>
      <c r="G81" s="40" t="s">
        <v>436</v>
      </c>
      <c r="H81" s="29"/>
      <c r="I81" s="138"/>
      <c r="J81" s="139"/>
      <c r="K81" s="140"/>
      <c r="L81" s="141"/>
      <c r="M81" s="171"/>
      <c r="N81" s="182"/>
      <c r="O81" s="107"/>
      <c r="P81" s="107"/>
      <c r="Q81" s="94"/>
      <c r="R81" s="94"/>
    </row>
    <row r="82" spans="1:18">
      <c r="A82" s="158"/>
      <c r="B82" s="37"/>
      <c r="C82" s="60"/>
      <c r="D82" s="33" t="s">
        <v>54</v>
      </c>
      <c r="E82" s="50" t="s">
        <v>509</v>
      </c>
      <c r="F82" s="42">
        <v>42692</v>
      </c>
      <c r="G82" s="88"/>
      <c r="H82" s="29"/>
      <c r="I82" s="138"/>
      <c r="J82" s="139"/>
      <c r="K82" s="140"/>
      <c r="L82" s="141"/>
      <c r="M82" s="171"/>
      <c r="N82" s="182"/>
      <c r="O82" s="107"/>
      <c r="P82" s="107"/>
      <c r="Q82" s="94"/>
      <c r="R82" s="94"/>
    </row>
    <row r="83" spans="1:18" s="105" customFormat="1" ht="25.5">
      <c r="A83" s="156" t="s">
        <v>185</v>
      </c>
      <c r="B83" s="101" t="s">
        <v>269</v>
      </c>
      <c r="C83" s="99" t="s">
        <v>437</v>
      </c>
      <c r="D83" s="100">
        <v>1</v>
      </c>
      <c r="E83" s="101" t="s">
        <v>271</v>
      </c>
      <c r="F83" s="106" t="s">
        <v>274</v>
      </c>
      <c r="G83" s="101" t="s">
        <v>43</v>
      </c>
      <c r="H83" s="102" t="s">
        <v>602</v>
      </c>
      <c r="I83" s="142">
        <v>1195</v>
      </c>
      <c r="J83" s="143"/>
      <c r="K83" s="144">
        <v>68.099999999999994</v>
      </c>
      <c r="L83" s="149"/>
      <c r="M83" s="171">
        <v>7</v>
      </c>
      <c r="N83" s="182">
        <v>0</v>
      </c>
      <c r="O83" s="104">
        <f>(1196-600)*70.53*0.3%</f>
        <v>126.10763999999999</v>
      </c>
      <c r="P83" s="104">
        <v>0</v>
      </c>
      <c r="Q83" s="94">
        <v>0</v>
      </c>
      <c r="R83" s="94">
        <f t="shared" si="2"/>
        <v>0</v>
      </c>
    </row>
    <row r="84" spans="1:18">
      <c r="A84" s="21"/>
      <c r="B84" s="18" t="s">
        <v>270</v>
      </c>
      <c r="C84" s="58"/>
      <c r="D84" s="16">
        <v>2</v>
      </c>
      <c r="E84" s="18" t="s">
        <v>272</v>
      </c>
      <c r="F84" s="17" t="s">
        <v>275</v>
      </c>
      <c r="G84" s="18" t="s">
        <v>244</v>
      </c>
      <c r="H84" s="29"/>
      <c r="I84" s="138"/>
      <c r="J84" s="139"/>
      <c r="K84" s="140"/>
      <c r="L84" s="141"/>
      <c r="M84" s="171"/>
      <c r="N84" s="182"/>
      <c r="O84" s="107"/>
      <c r="P84" s="107"/>
      <c r="Q84" s="94"/>
      <c r="R84" s="94"/>
    </row>
    <row r="85" spans="1:18">
      <c r="A85" s="21"/>
      <c r="B85" s="18"/>
      <c r="C85" s="58"/>
      <c r="D85" s="16">
        <v>3</v>
      </c>
      <c r="E85" s="18" t="s">
        <v>273</v>
      </c>
      <c r="F85" s="17" t="s">
        <v>276</v>
      </c>
      <c r="G85" s="88"/>
      <c r="H85" s="29"/>
      <c r="I85" s="138"/>
      <c r="J85" s="139"/>
      <c r="K85" s="140"/>
      <c r="L85" s="141"/>
      <c r="M85" s="171"/>
      <c r="N85" s="182"/>
      <c r="O85" s="107"/>
      <c r="P85" s="107"/>
      <c r="Q85" s="94"/>
      <c r="R85" s="94"/>
    </row>
    <row r="86" spans="1:18" ht="25.5">
      <c r="A86" s="21" t="s">
        <v>191</v>
      </c>
      <c r="B86" s="18" t="s">
        <v>467</v>
      </c>
      <c r="C86" s="58" t="s">
        <v>437</v>
      </c>
      <c r="D86" s="16">
        <v>1</v>
      </c>
      <c r="E86" s="18" t="s">
        <v>468</v>
      </c>
      <c r="F86" s="17" t="s">
        <v>471</v>
      </c>
      <c r="G86" s="18" t="s">
        <v>43</v>
      </c>
      <c r="H86" s="29" t="s">
        <v>603</v>
      </c>
      <c r="I86" s="138">
        <v>1412</v>
      </c>
      <c r="J86" s="139"/>
      <c r="K86" s="140">
        <v>60.1</v>
      </c>
      <c r="L86" s="141"/>
      <c r="M86" s="171">
        <v>229</v>
      </c>
      <c r="N86" s="182">
        <v>214</v>
      </c>
      <c r="O86" s="94">
        <f>(1412-600)*70.53*0.3%</f>
        <v>171.81108</v>
      </c>
      <c r="P86" s="104">
        <f>(60.1-20-7-7-7)*5.04</f>
        <v>96.26400000000001</v>
      </c>
      <c r="Q86" s="94">
        <f t="shared" ref="Q86:Q133" si="3">M86-O86</f>
        <v>57.188919999999996</v>
      </c>
      <c r="R86" s="94">
        <f t="shared" si="2"/>
        <v>117.73599999999999</v>
      </c>
    </row>
    <row r="87" spans="1:18">
      <c r="A87" s="21"/>
      <c r="B87" s="18" t="s">
        <v>510</v>
      </c>
      <c r="C87" s="58"/>
      <c r="D87" s="16">
        <v>2</v>
      </c>
      <c r="E87" s="18" t="s">
        <v>469</v>
      </c>
      <c r="F87" s="17" t="s">
        <v>472</v>
      </c>
      <c r="G87" s="18" t="s">
        <v>268</v>
      </c>
      <c r="H87" s="29"/>
      <c r="I87" s="138"/>
      <c r="J87" s="139"/>
      <c r="K87" s="140"/>
      <c r="L87" s="141"/>
      <c r="M87" s="171"/>
      <c r="N87" s="182"/>
      <c r="O87" s="107"/>
      <c r="P87" s="107"/>
      <c r="Q87" s="94"/>
      <c r="R87" s="94"/>
    </row>
    <row r="88" spans="1:18">
      <c r="A88" s="21"/>
      <c r="B88" s="18"/>
      <c r="C88" s="58"/>
      <c r="D88" s="16">
        <v>3</v>
      </c>
      <c r="E88" s="18" t="s">
        <v>470</v>
      </c>
      <c r="F88" s="17" t="s">
        <v>473</v>
      </c>
      <c r="G88" s="88"/>
      <c r="H88" s="29"/>
      <c r="I88" s="138"/>
      <c r="J88" s="139"/>
      <c r="K88" s="140"/>
      <c r="L88" s="141"/>
      <c r="M88" s="171"/>
      <c r="N88" s="182"/>
      <c r="O88" s="107"/>
      <c r="P88" s="107"/>
      <c r="Q88" s="94"/>
      <c r="R88" s="94"/>
    </row>
    <row r="89" spans="1:18" ht="38.25">
      <c r="A89" s="21" t="s">
        <v>199</v>
      </c>
      <c r="B89" s="49" t="s">
        <v>487</v>
      </c>
      <c r="C89" s="58" t="s">
        <v>437</v>
      </c>
      <c r="D89" s="16" t="s">
        <v>42</v>
      </c>
      <c r="E89" s="22" t="s">
        <v>488</v>
      </c>
      <c r="F89" s="39">
        <v>41191</v>
      </c>
      <c r="G89" s="18" t="s">
        <v>373</v>
      </c>
      <c r="H89" s="29" t="s">
        <v>604</v>
      </c>
      <c r="I89" s="138">
        <v>854</v>
      </c>
      <c r="J89" s="139"/>
      <c r="K89" s="140">
        <v>59.4</v>
      </c>
      <c r="L89" s="141"/>
      <c r="M89" s="171">
        <v>45</v>
      </c>
      <c r="N89" s="182">
        <v>52</v>
      </c>
      <c r="O89" s="94">
        <f>(854-600)*70.53*0.3%</f>
        <v>53.743859999999998</v>
      </c>
      <c r="P89" s="104">
        <f>(59.4-20-7-7-7)*5.04</f>
        <v>92.73599999999999</v>
      </c>
      <c r="Q89" s="94">
        <v>0</v>
      </c>
      <c r="R89" s="94">
        <v>0</v>
      </c>
    </row>
    <row r="90" spans="1:18">
      <c r="A90" s="21"/>
      <c r="B90" s="18"/>
      <c r="C90" s="58"/>
      <c r="D90" s="16" t="s">
        <v>44</v>
      </c>
      <c r="E90" s="22" t="s">
        <v>489</v>
      </c>
      <c r="F90" s="39">
        <v>41987</v>
      </c>
      <c r="G90" s="40" t="s">
        <v>491</v>
      </c>
      <c r="H90" s="29"/>
      <c r="I90" s="138"/>
      <c r="J90" s="139"/>
      <c r="K90" s="140"/>
      <c r="L90" s="141"/>
      <c r="M90" s="171"/>
      <c r="N90" s="182"/>
      <c r="O90" s="107"/>
      <c r="P90" s="107"/>
      <c r="Q90" s="94"/>
      <c r="R90" s="94"/>
    </row>
    <row r="91" spans="1:18">
      <c r="A91" s="41"/>
      <c r="B91" s="50"/>
      <c r="C91" s="65"/>
      <c r="D91" s="51" t="s">
        <v>54</v>
      </c>
      <c r="E91" s="50" t="s">
        <v>490</v>
      </c>
      <c r="F91" s="39">
        <v>42549</v>
      </c>
      <c r="G91" s="88"/>
      <c r="H91" s="29"/>
      <c r="I91" s="138"/>
      <c r="J91" s="139"/>
      <c r="K91" s="140"/>
      <c r="L91" s="141"/>
      <c r="M91" s="171"/>
      <c r="N91" s="182"/>
      <c r="O91" s="107"/>
      <c r="P91" s="107"/>
      <c r="Q91" s="94"/>
      <c r="R91" s="94"/>
    </row>
    <row r="92" spans="1:18" ht="38.25">
      <c r="A92" s="21" t="s">
        <v>200</v>
      </c>
      <c r="B92" s="22" t="s">
        <v>409</v>
      </c>
      <c r="C92" s="58" t="s">
        <v>437</v>
      </c>
      <c r="D92" s="16" t="s">
        <v>42</v>
      </c>
      <c r="E92" s="22" t="s">
        <v>410</v>
      </c>
      <c r="F92" s="42">
        <v>40194</v>
      </c>
      <c r="G92" s="18" t="s">
        <v>373</v>
      </c>
      <c r="H92" s="29" t="s">
        <v>604</v>
      </c>
      <c r="I92" s="138">
        <v>854</v>
      </c>
      <c r="J92" s="139"/>
      <c r="K92" s="140">
        <v>59.4</v>
      </c>
      <c r="L92" s="141"/>
      <c r="M92" s="171">
        <v>45</v>
      </c>
      <c r="N92" s="182">
        <v>52</v>
      </c>
      <c r="O92" s="94">
        <f>(854-600)*70.53*0.3%</f>
        <v>53.743859999999998</v>
      </c>
      <c r="P92" s="104">
        <f>(59.4-20-7-7-7)*5.04</f>
        <v>92.73599999999999</v>
      </c>
      <c r="Q92" s="94">
        <v>0</v>
      </c>
      <c r="R92" s="94">
        <v>0</v>
      </c>
    </row>
    <row r="93" spans="1:18">
      <c r="A93" s="21"/>
      <c r="B93" s="18"/>
      <c r="C93" s="58"/>
      <c r="D93" s="16" t="s">
        <v>44</v>
      </c>
      <c r="E93" s="22" t="s">
        <v>478</v>
      </c>
      <c r="F93" s="42">
        <v>42245</v>
      </c>
      <c r="G93" s="40" t="s">
        <v>491</v>
      </c>
      <c r="H93" s="29"/>
      <c r="I93" s="138"/>
      <c r="J93" s="139"/>
      <c r="K93" s="140"/>
      <c r="L93" s="141"/>
      <c r="M93" s="171"/>
      <c r="N93" s="182"/>
      <c r="O93" s="107"/>
      <c r="P93" s="107"/>
      <c r="Q93" s="94"/>
      <c r="R93" s="94"/>
    </row>
    <row r="94" spans="1:18">
      <c r="A94" s="21"/>
      <c r="B94" s="18"/>
      <c r="C94" s="58"/>
      <c r="D94" s="16" t="s">
        <v>54</v>
      </c>
      <c r="E94" s="22" t="s">
        <v>515</v>
      </c>
      <c r="F94" s="42">
        <v>42990</v>
      </c>
      <c r="G94" s="88"/>
      <c r="H94" s="29"/>
      <c r="I94" s="138"/>
      <c r="J94" s="139"/>
      <c r="K94" s="140"/>
      <c r="L94" s="141"/>
      <c r="M94" s="171"/>
      <c r="N94" s="182"/>
      <c r="O94" s="107"/>
      <c r="P94" s="107"/>
      <c r="Q94" s="94"/>
      <c r="R94" s="94"/>
    </row>
    <row r="95" spans="1:18" ht="38.25">
      <c r="A95" s="21" t="s">
        <v>203</v>
      </c>
      <c r="B95" s="19" t="s">
        <v>237</v>
      </c>
      <c r="C95" s="58" t="s">
        <v>437</v>
      </c>
      <c r="D95" s="16">
        <v>1</v>
      </c>
      <c r="E95" s="18" t="s">
        <v>238</v>
      </c>
      <c r="F95" s="17" t="s">
        <v>241</v>
      </c>
      <c r="G95" s="18" t="s">
        <v>43</v>
      </c>
      <c r="H95" s="29" t="s">
        <v>604</v>
      </c>
      <c r="I95" s="138">
        <v>854</v>
      </c>
      <c r="J95" s="139"/>
      <c r="K95" s="140">
        <v>59.4</v>
      </c>
      <c r="L95" s="141"/>
      <c r="M95" s="171">
        <v>45</v>
      </c>
      <c r="N95" s="182">
        <v>52</v>
      </c>
      <c r="O95" s="94">
        <f>(854-600)*70.53*0.3%</f>
        <v>53.743859999999998</v>
      </c>
      <c r="P95" s="104">
        <f>(59.4-20-7-7-7)*5.04</f>
        <v>92.73599999999999</v>
      </c>
      <c r="Q95" s="94">
        <v>0</v>
      </c>
      <c r="R95" s="94">
        <v>0</v>
      </c>
    </row>
    <row r="96" spans="1:18">
      <c r="A96" s="21"/>
      <c r="B96" s="18"/>
      <c r="C96" s="58"/>
      <c r="D96" s="16">
        <v>2</v>
      </c>
      <c r="E96" s="18" t="s">
        <v>239</v>
      </c>
      <c r="F96" s="17" t="s">
        <v>242</v>
      </c>
      <c r="G96" s="18" t="s">
        <v>244</v>
      </c>
      <c r="H96" s="29"/>
      <c r="I96" s="138"/>
      <c r="J96" s="139"/>
      <c r="K96" s="140"/>
      <c r="L96" s="141"/>
      <c r="M96" s="171"/>
      <c r="N96" s="182"/>
      <c r="O96" s="107"/>
      <c r="P96" s="107"/>
      <c r="Q96" s="94"/>
      <c r="R96" s="94"/>
    </row>
    <row r="97" spans="1:18">
      <c r="A97" s="21"/>
      <c r="B97" s="18"/>
      <c r="C97" s="58"/>
      <c r="D97" s="16">
        <v>3</v>
      </c>
      <c r="E97" s="18" t="s">
        <v>240</v>
      </c>
      <c r="F97" s="17" t="s">
        <v>243</v>
      </c>
      <c r="G97" s="88"/>
      <c r="H97" s="29"/>
      <c r="I97" s="138"/>
      <c r="J97" s="139"/>
      <c r="K97" s="140"/>
      <c r="L97" s="141"/>
      <c r="M97" s="171"/>
      <c r="N97" s="182"/>
      <c r="O97" s="107"/>
      <c r="P97" s="107"/>
      <c r="Q97" s="94"/>
      <c r="R97" s="94"/>
    </row>
    <row r="98" spans="1:18" ht="25.5">
      <c r="A98" s="21" t="s">
        <v>208</v>
      </c>
      <c r="B98" s="19" t="s">
        <v>483</v>
      </c>
      <c r="C98" s="58" t="s">
        <v>437</v>
      </c>
      <c r="D98" s="16">
        <v>1</v>
      </c>
      <c r="E98" s="18" t="s">
        <v>220</v>
      </c>
      <c r="F98" s="17" t="s">
        <v>226</v>
      </c>
      <c r="G98" s="18" t="s">
        <v>43</v>
      </c>
      <c r="H98" s="29" t="s">
        <v>605</v>
      </c>
      <c r="I98" s="138">
        <v>949</v>
      </c>
      <c r="J98" s="139"/>
      <c r="K98" s="140">
        <v>57.8</v>
      </c>
      <c r="L98" s="141"/>
      <c r="M98" s="171">
        <v>0</v>
      </c>
      <c r="N98" s="182">
        <v>0</v>
      </c>
      <c r="O98" s="107">
        <v>0</v>
      </c>
      <c r="P98" s="107">
        <v>0</v>
      </c>
      <c r="Q98" s="94"/>
      <c r="R98" s="94"/>
    </row>
    <row r="99" spans="1:18" ht="14.45" customHeight="1">
      <c r="A99" s="21"/>
      <c r="B99" s="18" t="s">
        <v>219</v>
      </c>
      <c r="C99" s="58"/>
      <c r="D99" s="16">
        <v>2</v>
      </c>
      <c r="E99" s="18" t="s">
        <v>221</v>
      </c>
      <c r="F99" s="17" t="s">
        <v>227</v>
      </c>
      <c r="G99" s="18" t="s">
        <v>223</v>
      </c>
      <c r="H99" s="29"/>
      <c r="I99" s="138"/>
      <c r="J99" s="139"/>
      <c r="K99" s="140"/>
      <c r="L99" s="141"/>
      <c r="M99" s="171"/>
      <c r="N99" s="182"/>
      <c r="O99" s="107"/>
      <c r="P99" s="107"/>
      <c r="Q99" s="94"/>
      <c r="R99" s="94"/>
    </row>
    <row r="100" spans="1:18">
      <c r="A100" s="21"/>
      <c r="B100" s="18"/>
      <c r="C100" s="58"/>
      <c r="D100" s="16">
        <v>3</v>
      </c>
      <c r="E100" s="18" t="s">
        <v>222</v>
      </c>
      <c r="F100" s="17" t="s">
        <v>228</v>
      </c>
      <c r="G100" s="88"/>
      <c r="H100" s="29"/>
      <c r="I100" s="138"/>
      <c r="J100" s="139"/>
      <c r="K100" s="140"/>
      <c r="L100" s="141"/>
      <c r="M100" s="171"/>
      <c r="N100" s="182"/>
      <c r="O100" s="107"/>
      <c r="P100" s="107"/>
      <c r="Q100" s="94"/>
      <c r="R100" s="94"/>
    </row>
    <row r="101" spans="1:18" ht="25.5">
      <c r="A101" s="21" t="s">
        <v>210</v>
      </c>
      <c r="B101" s="18" t="s">
        <v>135</v>
      </c>
      <c r="C101" s="58" t="s">
        <v>437</v>
      </c>
      <c r="D101" s="16" t="s">
        <v>42</v>
      </c>
      <c r="E101" s="18" t="s">
        <v>136</v>
      </c>
      <c r="F101" s="17" t="s">
        <v>138</v>
      </c>
      <c r="G101" s="18" t="s">
        <v>43</v>
      </c>
      <c r="H101" s="29" t="s">
        <v>575</v>
      </c>
      <c r="I101" s="138">
        <v>822</v>
      </c>
      <c r="J101" s="139"/>
      <c r="K101" s="140">
        <v>75.7</v>
      </c>
      <c r="L101" s="141"/>
      <c r="M101" s="171">
        <v>34</v>
      </c>
      <c r="N101" s="182">
        <v>82</v>
      </c>
      <c r="O101" s="107"/>
      <c r="P101" s="107"/>
      <c r="Q101" s="94">
        <f t="shared" si="3"/>
        <v>34</v>
      </c>
      <c r="R101" s="94">
        <f t="shared" si="2"/>
        <v>82</v>
      </c>
    </row>
    <row r="102" spans="1:18" s="105" customFormat="1" ht="14.45" customHeight="1">
      <c r="A102" s="156"/>
      <c r="B102" s="101" t="s">
        <v>134</v>
      </c>
      <c r="C102" s="99"/>
      <c r="D102" s="100" t="s">
        <v>44</v>
      </c>
      <c r="E102" s="101" t="s">
        <v>137</v>
      </c>
      <c r="F102" s="106" t="s">
        <v>139</v>
      </c>
      <c r="G102" s="101" t="s">
        <v>606</v>
      </c>
      <c r="H102" s="102"/>
      <c r="I102" s="142"/>
      <c r="J102" s="143"/>
      <c r="K102" s="144"/>
      <c r="L102" s="149"/>
      <c r="M102" s="171"/>
      <c r="N102" s="182"/>
      <c r="O102" s="104">
        <f>(822-600)*70.53*0.3%</f>
        <v>46.97298</v>
      </c>
      <c r="P102" s="104">
        <f>(75.7-20-7-7-7)*5.04</f>
        <v>174.88800000000001</v>
      </c>
      <c r="Q102" s="94">
        <v>0</v>
      </c>
      <c r="R102" s="94">
        <v>0</v>
      </c>
    </row>
    <row r="103" spans="1:18" s="105" customFormat="1">
      <c r="A103" s="156"/>
      <c r="B103" s="101"/>
      <c r="C103" s="99"/>
      <c r="D103" s="100" t="s">
        <v>54</v>
      </c>
      <c r="E103" s="101" t="s">
        <v>5</v>
      </c>
      <c r="F103" s="106" t="s">
        <v>6</v>
      </c>
      <c r="G103" s="119"/>
      <c r="H103" s="102"/>
      <c r="I103" s="142"/>
      <c r="J103" s="143"/>
      <c r="K103" s="144"/>
      <c r="L103" s="149"/>
      <c r="M103" s="171"/>
      <c r="N103" s="182"/>
      <c r="O103" s="103"/>
      <c r="P103" s="103"/>
      <c r="Q103" s="94"/>
      <c r="R103" s="94"/>
    </row>
    <row r="104" spans="1:18" s="105" customFormat="1" ht="25.5">
      <c r="A104" s="156" t="s">
        <v>212</v>
      </c>
      <c r="B104" s="101" t="s">
        <v>229</v>
      </c>
      <c r="C104" s="99" t="s">
        <v>437</v>
      </c>
      <c r="D104" s="100">
        <v>1</v>
      </c>
      <c r="E104" s="101" t="s">
        <v>115</v>
      </c>
      <c r="F104" s="106" t="s">
        <v>118</v>
      </c>
      <c r="G104" s="101" t="s">
        <v>43</v>
      </c>
      <c r="H104" s="102" t="s">
        <v>607</v>
      </c>
      <c r="I104" s="142">
        <v>1125</v>
      </c>
      <c r="J104" s="143"/>
      <c r="K104" s="144">
        <v>28.3</v>
      </c>
      <c r="L104" s="149"/>
      <c r="M104" s="171">
        <v>38</v>
      </c>
      <c r="N104" s="182">
        <v>0</v>
      </c>
      <c r="O104" s="104">
        <f>(1125-600)*70.53*0.3%</f>
        <v>111.08475</v>
      </c>
      <c r="P104" s="104">
        <v>0</v>
      </c>
      <c r="Q104" s="94">
        <v>0</v>
      </c>
      <c r="R104" s="94">
        <f t="shared" si="2"/>
        <v>0</v>
      </c>
    </row>
    <row r="105" spans="1:18">
      <c r="A105" s="21"/>
      <c r="B105" s="18" t="s">
        <v>114</v>
      </c>
      <c r="C105" s="58"/>
      <c r="D105" s="16">
        <v>2</v>
      </c>
      <c r="E105" s="18" t="s">
        <v>116</v>
      </c>
      <c r="F105" s="17" t="s">
        <v>119</v>
      </c>
      <c r="G105" s="18" t="s">
        <v>121</v>
      </c>
      <c r="H105" s="29"/>
      <c r="I105" s="138"/>
      <c r="J105" s="139"/>
      <c r="K105" s="140"/>
      <c r="L105" s="141"/>
      <c r="M105" s="171"/>
      <c r="N105" s="182"/>
      <c r="O105" s="107"/>
      <c r="P105" s="107"/>
      <c r="Q105" s="94"/>
      <c r="R105" s="94"/>
    </row>
    <row r="106" spans="1:18">
      <c r="A106" s="21"/>
      <c r="B106" s="18"/>
      <c r="C106" s="58"/>
      <c r="D106" s="16">
        <v>3</v>
      </c>
      <c r="E106" s="18" t="s">
        <v>117</v>
      </c>
      <c r="F106" s="17" t="s">
        <v>120</v>
      </c>
      <c r="G106" s="88"/>
      <c r="H106" s="29"/>
      <c r="I106" s="138"/>
      <c r="J106" s="139"/>
      <c r="K106" s="140"/>
      <c r="L106" s="141"/>
      <c r="M106" s="171"/>
      <c r="N106" s="182"/>
      <c r="O106" s="107"/>
      <c r="P106" s="107"/>
      <c r="Q106" s="94"/>
      <c r="R106" s="94"/>
    </row>
    <row r="107" spans="1:18" ht="25.5">
      <c r="A107" s="21" t="s">
        <v>213</v>
      </c>
      <c r="B107" s="19" t="s">
        <v>214</v>
      </c>
      <c r="C107" s="58" t="s">
        <v>437</v>
      </c>
      <c r="D107" s="16">
        <v>1</v>
      </c>
      <c r="E107" s="18" t="s">
        <v>215</v>
      </c>
      <c r="F107" s="17" t="s">
        <v>224</v>
      </c>
      <c r="G107" s="18" t="s">
        <v>43</v>
      </c>
      <c r="H107" s="29" t="s">
        <v>608</v>
      </c>
      <c r="I107" s="138">
        <v>594</v>
      </c>
      <c r="J107" s="139"/>
      <c r="K107" s="140">
        <v>42.4</v>
      </c>
      <c r="L107" s="141"/>
      <c r="M107" s="171">
        <v>126</v>
      </c>
      <c r="N107" s="182">
        <v>132</v>
      </c>
      <c r="O107" s="94">
        <v>0</v>
      </c>
      <c r="P107" s="104">
        <f>(42.4-20-7-7-7)*5.04</f>
        <v>7.0559999999999929</v>
      </c>
      <c r="Q107" s="94">
        <f t="shared" si="3"/>
        <v>126</v>
      </c>
      <c r="R107" s="94">
        <f t="shared" si="2"/>
        <v>124.944</v>
      </c>
    </row>
    <row r="108" spans="1:18">
      <c r="A108" s="21"/>
      <c r="B108" s="18"/>
      <c r="C108" s="58"/>
      <c r="D108" s="16">
        <v>2</v>
      </c>
      <c r="E108" s="18" t="s">
        <v>216</v>
      </c>
      <c r="F108" s="17" t="s">
        <v>225</v>
      </c>
      <c r="G108" s="18" t="s">
        <v>218</v>
      </c>
      <c r="H108" s="29"/>
      <c r="I108" s="138"/>
      <c r="J108" s="139"/>
      <c r="K108" s="140"/>
      <c r="L108" s="141"/>
      <c r="M108" s="171"/>
      <c r="N108" s="182"/>
      <c r="O108" s="107"/>
      <c r="P108" s="107"/>
      <c r="Q108" s="94"/>
      <c r="R108" s="94"/>
    </row>
    <row r="109" spans="1:18">
      <c r="A109" s="41"/>
      <c r="B109" s="37"/>
      <c r="C109" s="60"/>
      <c r="D109" s="33">
        <v>3</v>
      </c>
      <c r="E109" s="37" t="s">
        <v>217</v>
      </c>
      <c r="F109" s="17" t="s">
        <v>225</v>
      </c>
      <c r="G109" s="88"/>
      <c r="H109" s="29"/>
      <c r="I109" s="138"/>
      <c r="J109" s="139"/>
      <c r="K109" s="140"/>
      <c r="L109" s="141"/>
      <c r="M109" s="171"/>
      <c r="N109" s="182"/>
      <c r="O109" s="107"/>
      <c r="P109" s="107"/>
      <c r="Q109" s="94"/>
      <c r="R109" s="94"/>
    </row>
    <row r="110" spans="1:18" ht="25.5">
      <c r="A110" s="21" t="s">
        <v>391</v>
      </c>
      <c r="B110" s="22" t="s">
        <v>422</v>
      </c>
      <c r="C110" s="58" t="s">
        <v>437</v>
      </c>
      <c r="D110" s="16" t="s">
        <v>42</v>
      </c>
      <c r="E110" s="22" t="s">
        <v>516</v>
      </c>
      <c r="F110" s="42">
        <v>39544</v>
      </c>
      <c r="G110" s="18" t="s">
        <v>43</v>
      </c>
      <c r="H110" s="29" t="s">
        <v>609</v>
      </c>
      <c r="I110" s="138">
        <v>568</v>
      </c>
      <c r="J110" s="139"/>
      <c r="K110" s="140">
        <v>57.3</v>
      </c>
      <c r="L110" s="141"/>
      <c r="M110" s="171">
        <v>120</v>
      </c>
      <c r="N110" s="182">
        <v>193</v>
      </c>
      <c r="O110" s="94">
        <v>0</v>
      </c>
      <c r="P110" s="104">
        <f>(53.7-20-7-7-7)*5.04</f>
        <v>64.00800000000001</v>
      </c>
      <c r="Q110" s="94">
        <f t="shared" si="3"/>
        <v>120</v>
      </c>
      <c r="R110" s="94">
        <f t="shared" si="2"/>
        <v>128.99199999999999</v>
      </c>
    </row>
    <row r="111" spans="1:18" ht="16.899999999999999" customHeight="1">
      <c r="A111" s="21"/>
      <c r="B111" s="18" t="s">
        <v>423</v>
      </c>
      <c r="C111" s="58"/>
      <c r="D111" s="16" t="s">
        <v>44</v>
      </c>
      <c r="E111" s="22" t="s">
        <v>424</v>
      </c>
      <c r="F111" s="42">
        <v>40933</v>
      </c>
      <c r="G111" s="18" t="s">
        <v>425</v>
      </c>
      <c r="H111" s="29"/>
      <c r="I111" s="138"/>
      <c r="J111" s="139"/>
      <c r="K111" s="140"/>
      <c r="L111" s="141"/>
      <c r="M111" s="171"/>
      <c r="N111" s="182"/>
      <c r="O111" s="107"/>
      <c r="P111" s="107"/>
      <c r="Q111" s="94"/>
      <c r="R111" s="94"/>
    </row>
    <row r="112" spans="1:18">
      <c r="A112" s="21"/>
      <c r="B112" s="18"/>
      <c r="C112" s="58"/>
      <c r="D112" s="16" t="s">
        <v>54</v>
      </c>
      <c r="E112" s="18" t="s">
        <v>518</v>
      </c>
      <c r="F112" s="17" t="s">
        <v>517</v>
      </c>
      <c r="G112" s="88"/>
      <c r="H112" s="29"/>
      <c r="I112" s="138"/>
      <c r="J112" s="139"/>
      <c r="K112" s="140"/>
      <c r="L112" s="141"/>
      <c r="M112" s="171"/>
      <c r="N112" s="182"/>
      <c r="O112" s="107"/>
      <c r="P112" s="107"/>
      <c r="Q112" s="94"/>
      <c r="R112" s="94"/>
    </row>
    <row r="113" spans="1:18" ht="25.5">
      <c r="A113" s="21" t="s">
        <v>392</v>
      </c>
      <c r="B113" s="19" t="s">
        <v>95</v>
      </c>
      <c r="C113" s="58" t="s">
        <v>437</v>
      </c>
      <c r="D113" s="16">
        <v>1</v>
      </c>
      <c r="E113" s="18" t="s">
        <v>96</v>
      </c>
      <c r="F113" s="17" t="s">
        <v>99</v>
      </c>
      <c r="G113" s="18" t="s">
        <v>43</v>
      </c>
      <c r="H113" s="29" t="s">
        <v>611</v>
      </c>
      <c r="I113" s="138" t="s">
        <v>657</v>
      </c>
      <c r="J113" s="139"/>
      <c r="K113" s="140">
        <v>60.4</v>
      </c>
      <c r="L113" s="141"/>
      <c r="M113" s="171">
        <v>276</v>
      </c>
      <c r="N113" s="182">
        <v>204</v>
      </c>
      <c r="O113" s="94">
        <f>(1303-600)*70.53*0.3%</f>
        <v>148.74777</v>
      </c>
      <c r="P113" s="104">
        <f>(60.4-20-7-7-7)*5.04</f>
        <v>97.775999999999996</v>
      </c>
      <c r="Q113" s="94">
        <f t="shared" si="3"/>
        <v>127.25223</v>
      </c>
      <c r="R113" s="94">
        <f t="shared" si="2"/>
        <v>106.224</v>
      </c>
    </row>
    <row r="114" spans="1:18">
      <c r="A114" s="21"/>
      <c r="B114" s="18" t="s">
        <v>408</v>
      </c>
      <c r="C114" s="58"/>
      <c r="D114" s="16">
        <v>2</v>
      </c>
      <c r="E114" s="18" t="s">
        <v>97</v>
      </c>
      <c r="F114" s="17" t="s">
        <v>100</v>
      </c>
      <c r="G114" s="18" t="s">
        <v>610</v>
      </c>
      <c r="H114" s="29"/>
      <c r="I114" s="138"/>
      <c r="J114" s="139"/>
      <c r="K114" s="140"/>
      <c r="L114" s="141"/>
      <c r="M114" s="171"/>
      <c r="N114" s="182"/>
      <c r="O114" s="107"/>
      <c r="P114" s="107"/>
      <c r="Q114" s="94"/>
      <c r="R114" s="94"/>
    </row>
    <row r="115" spans="1:18">
      <c r="A115" s="21"/>
      <c r="B115" s="18"/>
      <c r="C115" s="58"/>
      <c r="D115" s="16">
        <v>3</v>
      </c>
      <c r="E115" s="18" t="s">
        <v>98</v>
      </c>
      <c r="F115" s="17" t="s">
        <v>414</v>
      </c>
      <c r="G115" s="88"/>
      <c r="H115" s="29"/>
      <c r="I115" s="138"/>
      <c r="J115" s="139"/>
      <c r="K115" s="140"/>
      <c r="L115" s="141"/>
      <c r="M115" s="171"/>
      <c r="N115" s="182"/>
      <c r="O115" s="107"/>
      <c r="P115" s="107"/>
      <c r="Q115" s="94"/>
      <c r="R115" s="94"/>
    </row>
    <row r="116" spans="1:18" s="105" customFormat="1" ht="25.5">
      <c r="A116" s="156" t="s">
        <v>393</v>
      </c>
      <c r="B116" s="101" t="s">
        <v>20</v>
      </c>
      <c r="C116" s="99" t="s">
        <v>437</v>
      </c>
      <c r="D116" s="100" t="s">
        <v>42</v>
      </c>
      <c r="E116" s="101" t="s">
        <v>400</v>
      </c>
      <c r="F116" s="106" t="s">
        <v>415</v>
      </c>
      <c r="G116" s="101" t="s">
        <v>43</v>
      </c>
      <c r="H116" s="102" t="s">
        <v>612</v>
      </c>
      <c r="I116" s="142">
        <v>1284</v>
      </c>
      <c r="J116" s="143"/>
      <c r="K116" s="144">
        <v>61.2</v>
      </c>
      <c r="L116" s="149"/>
      <c r="M116" s="171">
        <v>272</v>
      </c>
      <c r="N116" s="182">
        <v>49</v>
      </c>
      <c r="O116" s="104">
        <f>(1284-600)*70.53*0.3%</f>
        <v>144.72756000000001</v>
      </c>
      <c r="P116" s="104">
        <f>(61.2-20-7-7-7)*5.04</f>
        <v>101.80800000000002</v>
      </c>
      <c r="Q116" s="94">
        <f t="shared" si="3"/>
        <v>127.27243999999999</v>
      </c>
      <c r="R116" s="94">
        <v>0</v>
      </c>
    </row>
    <row r="117" spans="1:18">
      <c r="A117" s="21"/>
      <c r="B117" s="18" t="s">
        <v>399</v>
      </c>
      <c r="C117" s="58"/>
      <c r="D117" s="16" t="s">
        <v>44</v>
      </c>
      <c r="E117" s="18" t="s">
        <v>401</v>
      </c>
      <c r="F117" s="17" t="s">
        <v>22</v>
      </c>
      <c r="G117" s="18" t="s">
        <v>28</v>
      </c>
      <c r="H117" s="29"/>
      <c r="I117" s="138"/>
      <c r="J117" s="139"/>
      <c r="K117" s="140"/>
      <c r="L117" s="141"/>
      <c r="M117" s="171"/>
      <c r="N117" s="182"/>
      <c r="O117" s="107"/>
      <c r="P117" s="107"/>
      <c r="Q117" s="94"/>
      <c r="R117" s="94"/>
    </row>
    <row r="118" spans="1:18">
      <c r="A118" s="21"/>
      <c r="B118" s="18"/>
      <c r="C118" s="58"/>
      <c r="D118" s="16" t="s">
        <v>54</v>
      </c>
      <c r="E118" s="18" t="s">
        <v>21</v>
      </c>
      <c r="F118" s="17" t="s">
        <v>402</v>
      </c>
      <c r="G118" s="88"/>
      <c r="H118" s="29"/>
      <c r="I118" s="138"/>
      <c r="J118" s="139"/>
      <c r="K118" s="140"/>
      <c r="L118" s="141"/>
      <c r="M118" s="171"/>
      <c r="N118" s="182"/>
      <c r="O118" s="107"/>
      <c r="P118" s="107"/>
      <c r="Q118" s="94"/>
      <c r="R118" s="94"/>
    </row>
    <row r="119" spans="1:18" ht="30.6" customHeight="1">
      <c r="A119" s="21" t="s">
        <v>394</v>
      </c>
      <c r="B119" s="19" t="s">
        <v>427</v>
      </c>
      <c r="C119" s="58" t="s">
        <v>437</v>
      </c>
      <c r="D119" s="16">
        <v>1</v>
      </c>
      <c r="E119" s="18" t="s">
        <v>428</v>
      </c>
      <c r="F119" s="17" t="s">
        <v>430</v>
      </c>
      <c r="G119" s="18" t="s">
        <v>43</v>
      </c>
      <c r="H119" s="29" t="s">
        <v>614</v>
      </c>
      <c r="I119" s="138">
        <v>853</v>
      </c>
      <c r="J119" s="139"/>
      <c r="K119" s="140">
        <v>61.2</v>
      </c>
      <c r="L119" s="141"/>
      <c r="M119" s="171">
        <v>145</v>
      </c>
      <c r="N119" s="182">
        <v>0</v>
      </c>
      <c r="O119" s="94">
        <f>(853-600)*70.53*0.3%</f>
        <v>53.532270000000004</v>
      </c>
      <c r="P119" s="104">
        <f>(61.2-20-7-7-7)*5.04</f>
        <v>101.80800000000002</v>
      </c>
      <c r="Q119" s="94">
        <f t="shared" si="3"/>
        <v>91.467729999999989</v>
      </c>
      <c r="R119" s="94">
        <v>0</v>
      </c>
    </row>
    <row r="120" spans="1:18">
      <c r="A120" s="21"/>
      <c r="B120" s="18" t="s">
        <v>426</v>
      </c>
      <c r="C120" s="58"/>
      <c r="D120" s="16">
        <v>2</v>
      </c>
      <c r="E120" s="18" t="s">
        <v>429</v>
      </c>
      <c r="F120" s="17" t="s">
        <v>431</v>
      </c>
      <c r="G120" s="18" t="s">
        <v>613</v>
      </c>
      <c r="H120" s="29"/>
      <c r="I120" s="138"/>
      <c r="J120" s="139"/>
      <c r="K120" s="140"/>
      <c r="L120" s="141"/>
      <c r="M120" s="171"/>
      <c r="N120" s="182"/>
      <c r="O120" s="107"/>
      <c r="P120" s="107"/>
      <c r="Q120" s="94"/>
      <c r="R120" s="94"/>
    </row>
    <row r="121" spans="1:18">
      <c r="A121" s="41"/>
      <c r="B121" s="37"/>
      <c r="C121" s="60"/>
      <c r="D121" s="33">
        <v>3</v>
      </c>
      <c r="E121" s="44" t="s">
        <v>454</v>
      </c>
      <c r="F121" s="17" t="s">
        <v>455</v>
      </c>
      <c r="G121" s="88"/>
      <c r="H121" s="29"/>
      <c r="I121" s="138"/>
      <c r="J121" s="139"/>
      <c r="K121" s="140"/>
      <c r="L121" s="141"/>
      <c r="M121" s="171"/>
      <c r="N121" s="182"/>
      <c r="O121" s="107"/>
      <c r="P121" s="107"/>
      <c r="Q121" s="94"/>
      <c r="R121" s="94"/>
    </row>
    <row r="122" spans="1:18" s="105" customFormat="1" ht="27.6" customHeight="1">
      <c r="A122" s="156" t="s">
        <v>396</v>
      </c>
      <c r="B122" s="110" t="s">
        <v>479</v>
      </c>
      <c r="C122" s="99" t="s">
        <v>437</v>
      </c>
      <c r="D122" s="100" t="s">
        <v>42</v>
      </c>
      <c r="E122" s="110" t="s">
        <v>482</v>
      </c>
      <c r="F122" s="110" t="s">
        <v>556</v>
      </c>
      <c r="G122" s="101" t="s">
        <v>43</v>
      </c>
      <c r="H122" s="102" t="s">
        <v>615</v>
      </c>
      <c r="I122" s="142">
        <v>700</v>
      </c>
      <c r="J122" s="143"/>
      <c r="K122" s="144">
        <v>61.9</v>
      </c>
      <c r="L122" s="149"/>
      <c r="M122" s="171">
        <v>148</v>
      </c>
      <c r="N122" s="182">
        <v>49</v>
      </c>
      <c r="O122" s="104">
        <f>(700-600)*70.53*0.3%</f>
        <v>21.158999999999999</v>
      </c>
      <c r="P122" s="104">
        <f>(61.2-20-7-7-7)*5.04</f>
        <v>101.80800000000002</v>
      </c>
      <c r="Q122" s="94">
        <f t="shared" si="3"/>
        <v>126.84100000000001</v>
      </c>
      <c r="R122" s="94">
        <v>0</v>
      </c>
    </row>
    <row r="123" spans="1:18">
      <c r="A123" s="21"/>
      <c r="B123" s="22" t="s">
        <v>555</v>
      </c>
      <c r="C123" s="58"/>
      <c r="D123" s="16" t="s">
        <v>44</v>
      </c>
      <c r="E123" s="22" t="s">
        <v>480</v>
      </c>
      <c r="F123" s="22" t="s">
        <v>557</v>
      </c>
      <c r="G123" s="18" t="s">
        <v>481</v>
      </c>
      <c r="H123" s="29"/>
      <c r="I123" s="138"/>
      <c r="J123" s="139"/>
      <c r="K123" s="140"/>
      <c r="L123" s="141"/>
      <c r="M123" s="171"/>
      <c r="N123" s="182"/>
      <c r="O123" s="107"/>
      <c r="P123" s="107"/>
      <c r="Q123" s="94"/>
      <c r="R123" s="94"/>
    </row>
    <row r="124" spans="1:18">
      <c r="A124" s="21"/>
      <c r="B124" s="18"/>
      <c r="C124" s="58"/>
      <c r="D124" s="16" t="s">
        <v>54</v>
      </c>
      <c r="E124" s="22" t="s">
        <v>558</v>
      </c>
      <c r="F124" s="22" t="s">
        <v>559</v>
      </c>
      <c r="G124" s="88"/>
      <c r="H124" s="29"/>
      <c r="I124" s="138"/>
      <c r="J124" s="139"/>
      <c r="K124" s="140"/>
      <c r="L124" s="141"/>
      <c r="M124" s="171"/>
      <c r="N124" s="182"/>
      <c r="O124" s="107"/>
      <c r="P124" s="107"/>
      <c r="Q124" s="94"/>
      <c r="R124" s="94"/>
    </row>
    <row r="125" spans="1:18" ht="25.5">
      <c r="A125" s="53">
        <v>41</v>
      </c>
      <c r="B125" s="40" t="s">
        <v>192</v>
      </c>
      <c r="C125" s="63">
        <v>4</v>
      </c>
      <c r="D125" s="9">
        <v>1</v>
      </c>
      <c r="E125" s="40" t="s">
        <v>194</v>
      </c>
      <c r="F125" s="78" t="s">
        <v>196</v>
      </c>
      <c r="G125" s="40" t="s">
        <v>43</v>
      </c>
      <c r="H125" s="87" t="s">
        <v>621</v>
      </c>
      <c r="I125" s="138">
        <v>448</v>
      </c>
      <c r="J125" s="139"/>
      <c r="K125" s="140">
        <v>79.2</v>
      </c>
      <c r="L125" s="141"/>
      <c r="M125" s="171">
        <v>157</v>
      </c>
      <c r="N125" s="182">
        <v>49</v>
      </c>
      <c r="O125" s="104">
        <v>0</v>
      </c>
      <c r="P125" s="104">
        <f>(79.2-20-7-7-7-7)*5.04</f>
        <v>157.24800000000002</v>
      </c>
      <c r="Q125" s="94">
        <f t="shared" si="3"/>
        <v>157</v>
      </c>
      <c r="R125" s="94">
        <v>0</v>
      </c>
    </row>
    <row r="126" spans="1:18">
      <c r="A126" s="53"/>
      <c r="B126" s="40" t="s">
        <v>193</v>
      </c>
      <c r="C126" s="63"/>
      <c r="D126" s="9">
        <v>2</v>
      </c>
      <c r="E126" s="40" t="s">
        <v>195</v>
      </c>
      <c r="F126" s="78" t="s">
        <v>197</v>
      </c>
      <c r="G126" s="40" t="s">
        <v>198</v>
      </c>
      <c r="H126" s="87"/>
      <c r="I126" s="138"/>
      <c r="J126" s="139"/>
      <c r="K126" s="140"/>
      <c r="L126" s="141"/>
      <c r="M126" s="171"/>
      <c r="N126" s="182"/>
      <c r="O126" s="107"/>
      <c r="P126" s="107"/>
      <c r="Q126" s="94"/>
      <c r="R126" s="94"/>
    </row>
    <row r="127" spans="1:18">
      <c r="A127" s="53"/>
      <c r="B127" s="40"/>
      <c r="C127" s="64"/>
      <c r="D127" s="27" t="s">
        <v>54</v>
      </c>
      <c r="E127" s="48" t="s">
        <v>484</v>
      </c>
      <c r="F127" s="79" t="s">
        <v>474</v>
      </c>
      <c r="G127" s="88"/>
      <c r="H127" s="87"/>
      <c r="I127" s="138"/>
      <c r="J127" s="139"/>
      <c r="K127" s="140"/>
      <c r="L127" s="141"/>
      <c r="M127" s="171"/>
      <c r="N127" s="182"/>
      <c r="O127" s="107"/>
      <c r="P127" s="107"/>
      <c r="Q127" s="94"/>
      <c r="R127" s="94"/>
    </row>
    <row r="128" spans="1:18" ht="15.75" customHeight="1">
      <c r="A128" s="54"/>
      <c r="B128" s="37"/>
      <c r="C128" s="60"/>
      <c r="D128" s="33" t="s">
        <v>66</v>
      </c>
      <c r="E128" s="50" t="s">
        <v>501</v>
      </c>
      <c r="F128" s="81">
        <v>42778</v>
      </c>
      <c r="G128" s="18"/>
      <c r="H128" s="87"/>
      <c r="I128" s="138"/>
      <c r="J128" s="139"/>
      <c r="K128" s="140"/>
      <c r="L128" s="141"/>
      <c r="M128" s="171"/>
      <c r="N128" s="182"/>
      <c r="O128" s="107"/>
      <c r="P128" s="107"/>
      <c r="Q128" s="94"/>
      <c r="R128" s="94"/>
    </row>
    <row r="129" spans="1:18" ht="25.5">
      <c r="A129" s="159">
        <v>42</v>
      </c>
      <c r="B129" s="19" t="s">
        <v>296</v>
      </c>
      <c r="C129" s="58">
        <v>4</v>
      </c>
      <c r="D129" s="16">
        <v>1</v>
      </c>
      <c r="E129" s="18" t="s">
        <v>302</v>
      </c>
      <c r="F129" s="75" t="s">
        <v>306</v>
      </c>
      <c r="G129" s="18" t="s">
        <v>43</v>
      </c>
      <c r="H129" s="87" t="s">
        <v>622</v>
      </c>
      <c r="I129" s="145"/>
      <c r="J129" s="146"/>
      <c r="K129" s="140">
        <v>51.9</v>
      </c>
      <c r="L129" s="141"/>
      <c r="M129" s="171"/>
      <c r="N129" s="182"/>
      <c r="O129" s="107"/>
      <c r="P129" s="107"/>
      <c r="Q129" s="94"/>
      <c r="R129" s="94"/>
    </row>
    <row r="130" spans="1:18">
      <c r="A130" s="159"/>
      <c r="B130" s="18" t="s">
        <v>297</v>
      </c>
      <c r="C130" s="58"/>
      <c r="D130" s="16">
        <v>2</v>
      </c>
      <c r="E130" s="18" t="s">
        <v>303</v>
      </c>
      <c r="F130" s="75" t="s">
        <v>307</v>
      </c>
      <c r="G130" s="18" t="s">
        <v>623</v>
      </c>
      <c r="H130" s="87"/>
      <c r="I130" s="138"/>
      <c r="J130" s="139"/>
      <c r="K130" s="140"/>
      <c r="L130" s="141"/>
      <c r="M130" s="171"/>
      <c r="N130" s="182"/>
      <c r="O130" s="107"/>
      <c r="P130" s="107"/>
      <c r="Q130" s="94"/>
      <c r="R130" s="94"/>
    </row>
    <row r="131" spans="1:18">
      <c r="A131" s="159"/>
      <c r="B131" s="18"/>
      <c r="C131" s="58"/>
      <c r="D131" s="16">
        <v>3</v>
      </c>
      <c r="E131" s="18" t="s">
        <v>305</v>
      </c>
      <c r="F131" s="75" t="s">
        <v>308</v>
      </c>
      <c r="G131" s="88"/>
      <c r="H131" s="87"/>
      <c r="I131" s="138"/>
      <c r="J131" s="139"/>
      <c r="K131" s="140"/>
      <c r="L131" s="141"/>
      <c r="M131" s="171"/>
      <c r="N131" s="182"/>
      <c r="O131" s="107"/>
      <c r="P131" s="107"/>
      <c r="Q131" s="94"/>
      <c r="R131" s="94"/>
    </row>
    <row r="132" spans="1:18">
      <c r="A132" s="159"/>
      <c r="B132" s="18"/>
      <c r="C132" s="58"/>
      <c r="D132" s="16">
        <v>4</v>
      </c>
      <c r="E132" s="18" t="s">
        <v>304</v>
      </c>
      <c r="F132" s="77" t="s">
        <v>34</v>
      </c>
      <c r="G132" s="18"/>
      <c r="H132" s="87"/>
      <c r="I132" s="138"/>
      <c r="J132" s="139"/>
      <c r="K132" s="140"/>
      <c r="L132" s="141"/>
      <c r="M132" s="171"/>
      <c r="N132" s="182"/>
      <c r="O132" s="107"/>
      <c r="P132" s="107"/>
      <c r="Q132" s="94"/>
      <c r="R132" s="94"/>
    </row>
    <row r="133" spans="1:18" ht="25.5">
      <c r="A133" s="159">
        <v>43</v>
      </c>
      <c r="B133" s="18" t="s">
        <v>69</v>
      </c>
      <c r="C133" s="58">
        <v>4</v>
      </c>
      <c r="D133" s="16">
        <v>1</v>
      </c>
      <c r="E133" s="18" t="s">
        <v>70</v>
      </c>
      <c r="F133" s="75" t="s">
        <v>74</v>
      </c>
      <c r="G133" s="18" t="s">
        <v>43</v>
      </c>
      <c r="H133" s="87" t="s">
        <v>625</v>
      </c>
      <c r="I133" s="138">
        <v>591</v>
      </c>
      <c r="J133" s="139"/>
      <c r="K133" s="140">
        <v>45.7</v>
      </c>
      <c r="L133" s="141"/>
      <c r="M133" s="171">
        <v>125</v>
      </c>
      <c r="N133" s="182">
        <v>0</v>
      </c>
      <c r="O133" s="104">
        <v>0</v>
      </c>
      <c r="P133" s="104">
        <v>0</v>
      </c>
      <c r="Q133" s="94">
        <f t="shared" si="3"/>
        <v>125</v>
      </c>
      <c r="R133" s="94">
        <f t="shared" si="2"/>
        <v>0</v>
      </c>
    </row>
    <row r="134" spans="1:18">
      <c r="A134" s="159"/>
      <c r="B134" s="18" t="s">
        <v>68</v>
      </c>
      <c r="C134" s="58"/>
      <c r="D134" s="16">
        <v>2</v>
      </c>
      <c r="E134" s="18" t="s">
        <v>71</v>
      </c>
      <c r="F134" s="75" t="s">
        <v>75</v>
      </c>
      <c r="G134" s="18" t="s">
        <v>624</v>
      </c>
      <c r="H134" s="87"/>
      <c r="I134" s="138"/>
      <c r="J134" s="139"/>
      <c r="K134" s="140"/>
      <c r="L134" s="141"/>
      <c r="M134" s="171"/>
      <c r="N134" s="182"/>
      <c r="O134" s="107"/>
      <c r="P134" s="107"/>
      <c r="Q134" s="94"/>
      <c r="R134" s="94"/>
    </row>
    <row r="135" spans="1:18">
      <c r="A135" s="159"/>
      <c r="B135" s="18"/>
      <c r="C135" s="58"/>
      <c r="D135" s="16">
        <v>3</v>
      </c>
      <c r="E135" s="18" t="s">
        <v>72</v>
      </c>
      <c r="F135" s="75" t="s">
        <v>76</v>
      </c>
      <c r="G135" s="88"/>
      <c r="H135" s="87"/>
      <c r="I135" s="138"/>
      <c r="J135" s="139"/>
      <c r="K135" s="140"/>
      <c r="L135" s="141"/>
      <c r="M135" s="171"/>
      <c r="N135" s="182"/>
      <c r="O135" s="107"/>
      <c r="P135" s="107"/>
      <c r="Q135" s="94"/>
      <c r="R135" s="94"/>
    </row>
    <row r="136" spans="1:18">
      <c r="A136" s="159"/>
      <c r="B136" s="18"/>
      <c r="C136" s="58"/>
      <c r="D136" s="16">
        <v>4</v>
      </c>
      <c r="E136" s="18" t="s">
        <v>73</v>
      </c>
      <c r="F136" s="75" t="s">
        <v>266</v>
      </c>
      <c r="G136" s="18"/>
      <c r="H136" s="87"/>
      <c r="I136" s="138"/>
      <c r="J136" s="139"/>
      <c r="K136" s="140"/>
      <c r="L136" s="141"/>
      <c r="M136" s="171"/>
      <c r="N136" s="182"/>
      <c r="O136" s="107"/>
      <c r="P136" s="107"/>
      <c r="Q136" s="94"/>
      <c r="R136" s="94"/>
    </row>
    <row r="137" spans="1:18" ht="25.5">
      <c r="A137" s="159">
        <v>44</v>
      </c>
      <c r="B137" s="19" t="s">
        <v>289</v>
      </c>
      <c r="C137" s="58">
        <v>4</v>
      </c>
      <c r="D137" s="16">
        <v>1</v>
      </c>
      <c r="E137" s="18" t="s">
        <v>291</v>
      </c>
      <c r="F137" s="75" t="s">
        <v>298</v>
      </c>
      <c r="G137" s="18" t="s">
        <v>43</v>
      </c>
      <c r="H137" s="87" t="s">
        <v>626</v>
      </c>
      <c r="I137" s="145">
        <v>1499</v>
      </c>
      <c r="J137" s="146"/>
      <c r="K137" s="140">
        <v>89.7</v>
      </c>
      <c r="L137" s="141"/>
      <c r="M137" s="171"/>
      <c r="N137" s="182"/>
      <c r="O137" s="107"/>
      <c r="P137" s="107"/>
      <c r="Q137" s="94"/>
      <c r="R137" s="94"/>
    </row>
    <row r="138" spans="1:18">
      <c r="A138" s="159"/>
      <c r="B138" s="18" t="s">
        <v>290</v>
      </c>
      <c r="C138" s="58"/>
      <c r="D138" s="16">
        <v>2</v>
      </c>
      <c r="E138" s="18" t="s">
        <v>292</v>
      </c>
      <c r="F138" s="75" t="s">
        <v>299</v>
      </c>
      <c r="G138" s="18" t="s">
        <v>295</v>
      </c>
      <c r="H138" s="87"/>
      <c r="I138" s="138"/>
      <c r="J138" s="139"/>
      <c r="K138" s="140"/>
      <c r="L138" s="141"/>
      <c r="M138" s="171"/>
      <c r="N138" s="182"/>
      <c r="O138" s="107"/>
      <c r="P138" s="107"/>
      <c r="Q138" s="94"/>
      <c r="R138" s="94"/>
    </row>
    <row r="139" spans="1:18">
      <c r="A139" s="159"/>
      <c r="B139" s="18"/>
      <c r="C139" s="58"/>
      <c r="D139" s="16">
        <v>3</v>
      </c>
      <c r="E139" s="18" t="s">
        <v>293</v>
      </c>
      <c r="F139" s="75" t="s">
        <v>300</v>
      </c>
      <c r="G139" s="88"/>
      <c r="H139" s="87"/>
      <c r="I139" s="138"/>
      <c r="J139" s="139"/>
      <c r="K139" s="140"/>
      <c r="L139" s="141"/>
      <c r="M139" s="171"/>
      <c r="N139" s="182"/>
      <c r="O139" s="107"/>
      <c r="P139" s="107"/>
      <c r="Q139" s="94"/>
      <c r="R139" s="94"/>
    </row>
    <row r="140" spans="1:18">
      <c r="A140" s="159"/>
      <c r="B140" s="18"/>
      <c r="C140" s="58"/>
      <c r="D140" s="16">
        <v>4</v>
      </c>
      <c r="E140" s="18" t="s">
        <v>294</v>
      </c>
      <c r="F140" s="75" t="s">
        <v>301</v>
      </c>
      <c r="G140" s="18"/>
      <c r="H140" s="87"/>
      <c r="I140" s="138"/>
      <c r="J140" s="139"/>
      <c r="K140" s="140"/>
      <c r="L140" s="141"/>
      <c r="M140" s="171"/>
      <c r="N140" s="182"/>
      <c r="O140" s="107"/>
      <c r="P140" s="107"/>
      <c r="Q140" s="94"/>
      <c r="R140" s="94"/>
    </row>
    <row r="141" spans="1:18" ht="25.5">
      <c r="A141" s="159">
        <v>45</v>
      </c>
      <c r="B141" s="19" t="s">
        <v>104</v>
      </c>
      <c r="C141" s="58">
        <v>4</v>
      </c>
      <c r="D141" s="16">
        <v>1</v>
      </c>
      <c r="E141" s="18" t="s">
        <v>105</v>
      </c>
      <c r="F141" s="75" t="s">
        <v>109</v>
      </c>
      <c r="G141" s="18" t="s">
        <v>43</v>
      </c>
      <c r="H141" s="87" t="s">
        <v>627</v>
      </c>
      <c r="I141" s="138">
        <v>1273</v>
      </c>
      <c r="J141" s="139"/>
      <c r="K141" s="140">
        <v>51.9</v>
      </c>
      <c r="L141" s="141"/>
      <c r="M141" s="171">
        <v>36</v>
      </c>
      <c r="N141" s="182">
        <v>19</v>
      </c>
      <c r="O141" s="104">
        <f>(1273-600)*70.53*0.3%</f>
        <v>142.40007</v>
      </c>
      <c r="P141" s="104">
        <f>(51.9-20-7-7-7-7)*5.04</f>
        <v>19.655999999999992</v>
      </c>
      <c r="Q141" s="94">
        <v>0</v>
      </c>
      <c r="R141" s="94">
        <v>0</v>
      </c>
    </row>
    <row r="142" spans="1:18">
      <c r="A142" s="159"/>
      <c r="B142" s="18" t="s">
        <v>103</v>
      </c>
      <c r="C142" s="58"/>
      <c r="D142" s="16">
        <v>2</v>
      </c>
      <c r="E142" s="18" t="s">
        <v>106</v>
      </c>
      <c r="F142" s="75" t="s">
        <v>110</v>
      </c>
      <c r="G142" s="18" t="s">
        <v>267</v>
      </c>
      <c r="H142" s="87"/>
      <c r="I142" s="138"/>
      <c r="J142" s="139"/>
      <c r="K142" s="140"/>
      <c r="L142" s="141"/>
      <c r="M142" s="171"/>
      <c r="N142" s="182"/>
      <c r="O142" s="107"/>
      <c r="P142" s="107"/>
      <c r="Q142" s="94"/>
      <c r="R142" s="94"/>
    </row>
    <row r="143" spans="1:18">
      <c r="A143" s="159"/>
      <c r="B143" s="18"/>
      <c r="C143" s="58"/>
      <c r="D143" s="16">
        <v>3</v>
      </c>
      <c r="E143" s="18" t="s">
        <v>107</v>
      </c>
      <c r="F143" s="75" t="s">
        <v>111</v>
      </c>
      <c r="G143" s="88"/>
      <c r="H143" s="87"/>
      <c r="I143" s="138"/>
      <c r="J143" s="139"/>
      <c r="K143" s="140"/>
      <c r="L143" s="141"/>
      <c r="M143" s="171"/>
      <c r="N143" s="182"/>
      <c r="O143" s="107"/>
      <c r="P143" s="107"/>
      <c r="Q143" s="94"/>
      <c r="R143" s="94"/>
    </row>
    <row r="144" spans="1:18">
      <c r="A144" s="159"/>
      <c r="B144" s="18"/>
      <c r="C144" s="58"/>
      <c r="D144" s="16">
        <v>4</v>
      </c>
      <c r="E144" s="18" t="s">
        <v>108</v>
      </c>
      <c r="F144" s="75" t="s">
        <v>112</v>
      </c>
      <c r="G144" s="18"/>
      <c r="H144" s="87"/>
      <c r="I144" s="138"/>
      <c r="J144" s="139"/>
      <c r="K144" s="140"/>
      <c r="L144" s="141"/>
      <c r="M144" s="171"/>
      <c r="N144" s="182"/>
      <c r="O144" s="107"/>
      <c r="P144" s="107"/>
      <c r="Q144" s="94"/>
      <c r="R144" s="94"/>
    </row>
    <row r="145" spans="1:18" ht="25.5">
      <c r="A145" s="160">
        <v>46</v>
      </c>
      <c r="B145" s="38" t="s">
        <v>503</v>
      </c>
      <c r="C145" s="66">
        <v>4</v>
      </c>
      <c r="D145" s="35" t="s">
        <v>42</v>
      </c>
      <c r="E145" s="38" t="s">
        <v>504</v>
      </c>
      <c r="F145" s="84">
        <v>39730</v>
      </c>
      <c r="G145" s="120" t="s">
        <v>43</v>
      </c>
      <c r="H145" s="87" t="s">
        <v>600</v>
      </c>
      <c r="I145" s="138">
        <v>1375</v>
      </c>
      <c r="J145" s="139"/>
      <c r="K145" s="140">
        <v>39</v>
      </c>
      <c r="L145" s="141"/>
      <c r="M145" s="171">
        <v>291</v>
      </c>
      <c r="N145" s="182">
        <v>0</v>
      </c>
      <c r="O145" s="104">
        <f>(1375-600)*70.53*0.3%</f>
        <v>163.98224999999999</v>
      </c>
      <c r="P145" s="104">
        <v>0</v>
      </c>
      <c r="Q145" s="94">
        <f t="shared" ref="Q145:Q198" si="4">M145-O145</f>
        <v>127.01775000000001</v>
      </c>
      <c r="R145" s="94">
        <f t="shared" ref="R145:R198" si="5">N145-P145</f>
        <v>0</v>
      </c>
    </row>
    <row r="146" spans="1:18">
      <c r="A146" s="160"/>
      <c r="B146" s="38"/>
      <c r="C146" s="66"/>
      <c r="D146" s="35" t="s">
        <v>44</v>
      </c>
      <c r="E146" s="38" t="s">
        <v>505</v>
      </c>
      <c r="F146" s="84">
        <v>40239</v>
      </c>
      <c r="G146" s="40" t="s">
        <v>511</v>
      </c>
      <c r="H146" s="87"/>
      <c r="I146" s="138"/>
      <c r="J146" s="139"/>
      <c r="K146" s="140"/>
      <c r="L146" s="141"/>
      <c r="M146" s="171"/>
      <c r="N146" s="182"/>
      <c r="O146" s="107"/>
      <c r="P146" s="107"/>
      <c r="Q146" s="94"/>
      <c r="R146" s="94"/>
    </row>
    <row r="147" spans="1:18">
      <c r="A147" s="160"/>
      <c r="B147" s="38"/>
      <c r="C147" s="66"/>
      <c r="D147" s="35" t="s">
        <v>54</v>
      </c>
      <c r="E147" s="38" t="s">
        <v>506</v>
      </c>
      <c r="F147" s="84">
        <v>41053</v>
      </c>
      <c r="G147" s="88"/>
      <c r="H147" s="87"/>
      <c r="I147" s="138"/>
      <c r="J147" s="139"/>
      <c r="K147" s="140"/>
      <c r="L147" s="141"/>
      <c r="M147" s="171"/>
      <c r="N147" s="182"/>
      <c r="O147" s="107"/>
      <c r="P147" s="107"/>
      <c r="Q147" s="94"/>
      <c r="R147" s="94"/>
    </row>
    <row r="148" spans="1:18">
      <c r="A148" s="160"/>
      <c r="B148" s="38"/>
      <c r="C148" s="66"/>
      <c r="D148" s="35" t="s">
        <v>66</v>
      </c>
      <c r="E148" s="38" t="s">
        <v>507</v>
      </c>
      <c r="F148" s="84">
        <v>41989</v>
      </c>
      <c r="G148" s="18"/>
      <c r="H148" s="87"/>
      <c r="I148" s="138"/>
      <c r="J148" s="139"/>
      <c r="K148" s="140"/>
      <c r="L148" s="141"/>
      <c r="M148" s="171"/>
      <c r="N148" s="182"/>
      <c r="O148" s="107"/>
      <c r="P148" s="107"/>
      <c r="Q148" s="94"/>
      <c r="R148" s="94"/>
    </row>
    <row r="149" spans="1:18" ht="25.5">
      <c r="A149" s="21">
        <v>47</v>
      </c>
      <c r="B149" s="18" t="s">
        <v>250</v>
      </c>
      <c r="C149" s="58">
        <v>4</v>
      </c>
      <c r="D149" s="16">
        <v>1</v>
      </c>
      <c r="E149" s="18" t="s">
        <v>252</v>
      </c>
      <c r="F149" s="75" t="s">
        <v>256</v>
      </c>
      <c r="G149" s="18" t="s">
        <v>43</v>
      </c>
      <c r="H149" s="87" t="s">
        <v>655</v>
      </c>
      <c r="I149" s="138">
        <v>1112</v>
      </c>
      <c r="J149" s="139"/>
      <c r="K149" s="140">
        <v>37.18</v>
      </c>
      <c r="L149" s="141"/>
      <c r="M149" s="171">
        <v>235</v>
      </c>
      <c r="N149" s="182">
        <v>97</v>
      </c>
      <c r="O149" s="104">
        <f>(1112-600)*70.53*0.3%</f>
        <v>108.33408</v>
      </c>
      <c r="P149" s="104">
        <v>0</v>
      </c>
      <c r="Q149" s="94">
        <f t="shared" si="4"/>
        <v>126.66592</v>
      </c>
      <c r="R149" s="94">
        <f t="shared" si="5"/>
        <v>97</v>
      </c>
    </row>
    <row r="150" spans="1:18">
      <c r="A150" s="21"/>
      <c r="B150" s="18" t="s">
        <v>251</v>
      </c>
      <c r="C150" s="58"/>
      <c r="D150" s="16">
        <v>2</v>
      </c>
      <c r="E150" s="18" t="s">
        <v>253</v>
      </c>
      <c r="F150" s="75" t="s">
        <v>257</v>
      </c>
      <c r="G150" s="18" t="s">
        <v>260</v>
      </c>
      <c r="H150" s="87"/>
      <c r="I150" s="138"/>
      <c r="J150" s="139"/>
      <c r="K150" s="140"/>
      <c r="L150" s="141"/>
      <c r="M150" s="171"/>
      <c r="N150" s="182"/>
      <c r="O150" s="107"/>
      <c r="P150" s="107"/>
      <c r="Q150" s="94"/>
      <c r="R150" s="94"/>
    </row>
    <row r="151" spans="1:18">
      <c r="A151" s="21"/>
      <c r="B151" s="18"/>
      <c r="C151" s="58"/>
      <c r="D151" s="16">
        <v>3</v>
      </c>
      <c r="E151" s="18" t="s">
        <v>254</v>
      </c>
      <c r="F151" s="75" t="s">
        <v>258</v>
      </c>
      <c r="G151" s="88"/>
      <c r="H151" s="87"/>
      <c r="I151" s="138"/>
      <c r="J151" s="139"/>
      <c r="K151" s="140"/>
      <c r="L151" s="141"/>
      <c r="M151" s="171"/>
      <c r="N151" s="182"/>
      <c r="O151" s="107"/>
      <c r="P151" s="107"/>
      <c r="Q151" s="94"/>
      <c r="R151" s="94"/>
    </row>
    <row r="152" spans="1:18">
      <c r="A152" s="21"/>
      <c r="B152" s="18"/>
      <c r="C152" s="58"/>
      <c r="D152" s="16">
        <v>4</v>
      </c>
      <c r="E152" s="18" t="s">
        <v>255</v>
      </c>
      <c r="F152" s="75" t="s">
        <v>259</v>
      </c>
      <c r="G152" s="18"/>
      <c r="H152" s="87"/>
      <c r="I152" s="138"/>
      <c r="J152" s="139"/>
      <c r="K152" s="140"/>
      <c r="L152" s="141"/>
      <c r="M152" s="171"/>
      <c r="N152" s="182"/>
      <c r="O152" s="107"/>
      <c r="P152" s="107"/>
      <c r="Q152" s="94"/>
      <c r="R152" s="94"/>
    </row>
    <row r="153" spans="1:18" ht="29.45" customHeight="1">
      <c r="A153" s="21">
        <v>48</v>
      </c>
      <c r="B153" s="19" t="s">
        <v>159</v>
      </c>
      <c r="C153" s="58">
        <v>4</v>
      </c>
      <c r="D153" s="16">
        <v>1</v>
      </c>
      <c r="E153" s="18" t="s">
        <v>162</v>
      </c>
      <c r="F153" s="75" t="s">
        <v>164</v>
      </c>
      <c r="G153" s="18" t="s">
        <v>43</v>
      </c>
      <c r="H153" s="87" t="s">
        <v>600</v>
      </c>
      <c r="I153" s="138">
        <v>684</v>
      </c>
      <c r="J153" s="139"/>
      <c r="K153" s="140">
        <v>19.7</v>
      </c>
      <c r="L153" s="141"/>
      <c r="M153" s="171">
        <v>29</v>
      </c>
      <c r="N153" s="182">
        <v>0</v>
      </c>
      <c r="O153" s="104">
        <f>(684-600)*70.53*0.3%</f>
        <v>17.773560000000003</v>
      </c>
      <c r="P153" s="104">
        <v>0</v>
      </c>
      <c r="Q153" s="94">
        <f t="shared" si="4"/>
        <v>11.226439999999997</v>
      </c>
      <c r="R153" s="94">
        <f t="shared" si="5"/>
        <v>0</v>
      </c>
    </row>
    <row r="154" spans="1:18">
      <c r="A154" s="21"/>
      <c r="B154" s="18" t="s">
        <v>158</v>
      </c>
      <c r="C154" s="58"/>
      <c r="D154" s="16">
        <v>2</v>
      </c>
      <c r="E154" s="18" t="s">
        <v>161</v>
      </c>
      <c r="F154" s="75" t="s">
        <v>165</v>
      </c>
      <c r="G154" s="18" t="s">
        <v>168</v>
      </c>
      <c r="H154" s="87"/>
      <c r="I154" s="138"/>
      <c r="J154" s="139"/>
      <c r="K154" s="140"/>
      <c r="L154" s="141"/>
      <c r="M154" s="171"/>
      <c r="N154" s="182"/>
      <c r="O154" s="107"/>
      <c r="P154" s="107"/>
      <c r="Q154" s="94"/>
      <c r="R154" s="94"/>
    </row>
    <row r="155" spans="1:18">
      <c r="A155" s="21"/>
      <c r="B155" s="18"/>
      <c r="C155" s="58"/>
      <c r="D155" s="16">
        <v>3</v>
      </c>
      <c r="E155" s="18" t="s">
        <v>160</v>
      </c>
      <c r="F155" s="75" t="s">
        <v>166</v>
      </c>
      <c r="G155" s="88"/>
      <c r="H155" s="87"/>
      <c r="I155" s="138"/>
      <c r="J155" s="139"/>
      <c r="K155" s="140"/>
      <c r="L155" s="141"/>
      <c r="M155" s="171"/>
      <c r="N155" s="182"/>
      <c r="O155" s="107"/>
      <c r="P155" s="107"/>
      <c r="Q155" s="94"/>
      <c r="R155" s="94"/>
    </row>
    <row r="156" spans="1:18" ht="14.25" customHeight="1">
      <c r="A156" s="21"/>
      <c r="B156" s="18"/>
      <c r="C156" s="58"/>
      <c r="D156" s="16">
        <v>4</v>
      </c>
      <c r="E156" s="18" t="s">
        <v>163</v>
      </c>
      <c r="F156" s="75" t="s">
        <v>167</v>
      </c>
      <c r="G156" s="18"/>
      <c r="H156" s="87"/>
      <c r="I156" s="138"/>
      <c r="J156" s="139"/>
      <c r="K156" s="140"/>
      <c r="L156" s="141"/>
      <c r="M156" s="171"/>
      <c r="N156" s="182"/>
      <c r="O156" s="107"/>
      <c r="P156" s="107"/>
      <c r="Q156" s="94"/>
      <c r="R156" s="94"/>
    </row>
    <row r="157" spans="1:18" ht="25.5">
      <c r="A157" s="21">
        <v>49</v>
      </c>
      <c r="B157" s="22" t="s">
        <v>629</v>
      </c>
      <c r="C157" s="58">
        <v>4</v>
      </c>
      <c r="D157" s="16" t="s">
        <v>42</v>
      </c>
      <c r="E157" s="22" t="s">
        <v>444</v>
      </c>
      <c r="F157" s="82">
        <v>38623</v>
      </c>
      <c r="G157" s="18" t="s">
        <v>43</v>
      </c>
      <c r="H157" s="87" t="s">
        <v>656</v>
      </c>
      <c r="I157" s="138">
        <v>704</v>
      </c>
      <c r="J157" s="139"/>
      <c r="K157" s="140">
        <v>76.400000000000006</v>
      </c>
      <c r="L157" s="141"/>
      <c r="M157" s="171">
        <v>300</v>
      </c>
      <c r="N157" s="182">
        <v>300</v>
      </c>
      <c r="O157" s="104">
        <f>(704-600)*70.53*0.3%</f>
        <v>22.00536</v>
      </c>
      <c r="P157" s="104">
        <f>(76.4-20-7-7-7-7)*5.04</f>
        <v>143.13600000000002</v>
      </c>
      <c r="Q157" s="94">
        <f t="shared" si="4"/>
        <v>277.99464</v>
      </c>
      <c r="R157" s="94">
        <f t="shared" si="5"/>
        <v>156.86399999999998</v>
      </c>
    </row>
    <row r="158" spans="1:18">
      <c r="A158" s="21"/>
      <c r="B158" s="18"/>
      <c r="C158" s="58"/>
      <c r="D158" s="16" t="s">
        <v>44</v>
      </c>
      <c r="E158" s="22" t="s">
        <v>445</v>
      </c>
      <c r="F158" s="82">
        <v>39716</v>
      </c>
      <c r="G158" s="18" t="s">
        <v>628</v>
      </c>
      <c r="H158" s="87"/>
      <c r="I158" s="138"/>
      <c r="J158" s="139"/>
      <c r="K158" s="140"/>
      <c r="L158" s="141"/>
      <c r="M158" s="171"/>
      <c r="N158" s="182"/>
      <c r="O158" s="107"/>
      <c r="P158" s="107"/>
      <c r="Q158" s="94"/>
      <c r="R158" s="94"/>
    </row>
    <row r="159" spans="1:18">
      <c r="A159" s="21"/>
      <c r="B159" s="18"/>
      <c r="C159" s="58"/>
      <c r="D159" s="16" t="s">
        <v>54</v>
      </c>
      <c r="E159" s="50" t="s">
        <v>493</v>
      </c>
      <c r="F159" s="83">
        <v>41695</v>
      </c>
      <c r="G159" s="88"/>
      <c r="H159" s="87"/>
      <c r="I159" s="138"/>
      <c r="J159" s="139"/>
      <c r="K159" s="140"/>
      <c r="L159" s="141"/>
      <c r="M159" s="171"/>
      <c r="N159" s="182"/>
      <c r="O159" s="107"/>
      <c r="P159" s="107"/>
      <c r="Q159" s="94"/>
      <c r="R159" s="94"/>
    </row>
    <row r="160" spans="1:18" ht="14.45" customHeight="1">
      <c r="A160" s="21"/>
      <c r="B160" s="18"/>
      <c r="C160" s="58"/>
      <c r="D160" s="28" t="s">
        <v>66</v>
      </c>
      <c r="E160" s="32" t="s">
        <v>536</v>
      </c>
      <c r="F160" s="85" t="s">
        <v>537</v>
      </c>
      <c r="G160" s="18"/>
      <c r="H160" s="87"/>
      <c r="I160" s="138"/>
      <c r="J160" s="139"/>
      <c r="K160" s="140"/>
      <c r="L160" s="141"/>
      <c r="M160" s="171"/>
      <c r="N160" s="182"/>
      <c r="O160" s="107"/>
      <c r="P160" s="107"/>
      <c r="Q160" s="94"/>
      <c r="R160" s="94"/>
    </row>
    <row r="161" spans="1:18" ht="25.5">
      <c r="A161" s="21">
        <v>50</v>
      </c>
      <c r="B161" s="18" t="s">
        <v>187</v>
      </c>
      <c r="C161" s="58">
        <v>4</v>
      </c>
      <c r="D161" s="16" t="s">
        <v>42</v>
      </c>
      <c r="E161" s="18" t="s">
        <v>403</v>
      </c>
      <c r="F161" s="75" t="s">
        <v>188</v>
      </c>
      <c r="G161" s="18" t="s">
        <v>43</v>
      </c>
      <c r="H161" s="87" t="s">
        <v>630</v>
      </c>
      <c r="I161" s="138">
        <v>1040</v>
      </c>
      <c r="J161" s="139"/>
      <c r="K161" s="140">
        <v>29.5</v>
      </c>
      <c r="L161" s="141"/>
      <c r="M161" s="171">
        <v>220</v>
      </c>
      <c r="N161" s="182">
        <v>0</v>
      </c>
      <c r="O161" s="104">
        <f>(1040-600)*70.53*0.3%</f>
        <v>93.099600000000009</v>
      </c>
      <c r="P161" s="104">
        <v>0</v>
      </c>
      <c r="Q161" s="94">
        <f t="shared" si="4"/>
        <v>126.90039999999999</v>
      </c>
      <c r="R161" s="94">
        <f t="shared" si="5"/>
        <v>0</v>
      </c>
    </row>
    <row r="162" spans="1:18" ht="14.25" customHeight="1">
      <c r="A162" s="21"/>
      <c r="B162" s="18" t="s">
        <v>186</v>
      </c>
      <c r="C162" s="58"/>
      <c r="D162" s="16" t="s">
        <v>44</v>
      </c>
      <c r="E162" s="18" t="s">
        <v>189</v>
      </c>
      <c r="F162" s="75" t="s">
        <v>190</v>
      </c>
      <c r="G162" s="18" t="s">
        <v>632</v>
      </c>
      <c r="H162" s="87"/>
      <c r="I162" s="138"/>
      <c r="J162" s="139"/>
      <c r="K162" s="140"/>
      <c r="L162" s="141"/>
      <c r="M162" s="171"/>
      <c r="N162" s="182"/>
      <c r="O162" s="107"/>
      <c r="P162" s="107"/>
      <c r="Q162" s="94"/>
      <c r="R162" s="94"/>
    </row>
    <row r="163" spans="1:18">
      <c r="A163" s="21"/>
      <c r="B163" s="18"/>
      <c r="C163" s="58"/>
      <c r="D163" s="33" t="s">
        <v>54</v>
      </c>
      <c r="E163" s="37" t="s">
        <v>3</v>
      </c>
      <c r="F163" s="76" t="s">
        <v>4</v>
      </c>
      <c r="G163" s="88"/>
      <c r="H163" s="87"/>
      <c r="I163" s="138"/>
      <c r="J163" s="139"/>
      <c r="K163" s="140"/>
      <c r="L163" s="141"/>
      <c r="M163" s="171"/>
      <c r="N163" s="182"/>
      <c r="O163" s="107"/>
      <c r="P163" s="107"/>
      <c r="Q163" s="94"/>
      <c r="R163" s="94"/>
    </row>
    <row r="164" spans="1:18" ht="16.5" customHeight="1">
      <c r="A164" s="41"/>
      <c r="B164" s="37"/>
      <c r="C164" s="60"/>
      <c r="D164" s="33" t="s">
        <v>66</v>
      </c>
      <c r="E164" s="50" t="s">
        <v>500</v>
      </c>
      <c r="F164" s="83">
        <v>42782</v>
      </c>
      <c r="G164" s="18"/>
      <c r="H164" s="87"/>
      <c r="I164" s="138"/>
      <c r="J164" s="139"/>
      <c r="K164" s="140"/>
      <c r="L164" s="141"/>
      <c r="M164" s="171"/>
      <c r="N164" s="182"/>
      <c r="O164" s="107"/>
      <c r="P164" s="107"/>
      <c r="Q164" s="94"/>
      <c r="R164" s="94"/>
    </row>
    <row r="165" spans="1:18" ht="31.9" customHeight="1">
      <c r="A165" s="21">
        <v>51</v>
      </c>
      <c r="B165" s="22" t="s">
        <v>519</v>
      </c>
      <c r="C165" s="59">
        <v>4</v>
      </c>
      <c r="D165" s="26" t="s">
        <v>42</v>
      </c>
      <c r="E165" s="22" t="s">
        <v>521</v>
      </c>
      <c r="F165" s="80" t="s">
        <v>525</v>
      </c>
      <c r="G165" s="18" t="s">
        <v>43</v>
      </c>
      <c r="H165" s="87" t="s">
        <v>633</v>
      </c>
      <c r="I165" s="138">
        <v>779</v>
      </c>
      <c r="J165" s="139"/>
      <c r="K165" s="140">
        <v>43.4</v>
      </c>
      <c r="L165" s="141"/>
      <c r="M165" s="171">
        <v>165</v>
      </c>
      <c r="N165" s="182">
        <v>132</v>
      </c>
      <c r="O165" s="104">
        <f>(779-600)*70.53*0.3%</f>
        <v>37.874610000000004</v>
      </c>
      <c r="P165" s="104">
        <v>0</v>
      </c>
      <c r="Q165" s="94">
        <f t="shared" si="4"/>
        <v>127.12539</v>
      </c>
      <c r="R165" s="94">
        <f t="shared" si="5"/>
        <v>132</v>
      </c>
    </row>
    <row r="166" spans="1:18">
      <c r="A166" s="21"/>
      <c r="B166" s="22" t="s">
        <v>520</v>
      </c>
      <c r="C166" s="59"/>
      <c r="D166" s="26" t="s">
        <v>44</v>
      </c>
      <c r="E166" s="22" t="s">
        <v>522</v>
      </c>
      <c r="F166" s="80" t="s">
        <v>526</v>
      </c>
      <c r="G166" s="18" t="s">
        <v>631</v>
      </c>
      <c r="H166" s="87"/>
      <c r="I166" s="138"/>
      <c r="J166" s="139"/>
      <c r="K166" s="140"/>
      <c r="L166" s="141"/>
      <c r="M166" s="171"/>
      <c r="N166" s="182"/>
      <c r="O166" s="107"/>
      <c r="P166" s="107"/>
      <c r="Q166" s="94"/>
      <c r="R166" s="94"/>
    </row>
    <row r="167" spans="1:18">
      <c r="A167" s="21"/>
      <c r="B167" s="55"/>
      <c r="C167" s="59"/>
      <c r="D167" s="26" t="s">
        <v>54</v>
      </c>
      <c r="E167" s="22" t="s">
        <v>523</v>
      </c>
      <c r="F167" s="80" t="s">
        <v>527</v>
      </c>
      <c r="G167" s="88"/>
      <c r="H167" s="87"/>
      <c r="I167" s="138"/>
      <c r="J167" s="139"/>
      <c r="K167" s="140"/>
      <c r="L167" s="141"/>
      <c r="M167" s="171"/>
      <c r="N167" s="182"/>
      <c r="O167" s="107"/>
      <c r="P167" s="107"/>
      <c r="Q167" s="94"/>
      <c r="R167" s="94"/>
    </row>
    <row r="168" spans="1:18">
      <c r="A168" s="21"/>
      <c r="B168" s="55"/>
      <c r="C168" s="59"/>
      <c r="D168" s="26" t="s">
        <v>66</v>
      </c>
      <c r="E168" s="22" t="s">
        <v>524</v>
      </c>
      <c r="F168" s="80" t="s">
        <v>528</v>
      </c>
      <c r="G168" s="55"/>
      <c r="H168" s="87"/>
      <c r="I168" s="138"/>
      <c r="J168" s="139"/>
      <c r="K168" s="140"/>
      <c r="L168" s="141"/>
      <c r="M168" s="171"/>
      <c r="N168" s="182"/>
      <c r="O168" s="107"/>
      <c r="P168" s="107"/>
      <c r="Q168" s="94"/>
      <c r="R168" s="94"/>
    </row>
    <row r="169" spans="1:18" ht="25.5">
      <c r="A169" s="21">
        <v>52</v>
      </c>
      <c r="B169" s="19" t="s">
        <v>245</v>
      </c>
      <c r="C169" s="58">
        <v>4</v>
      </c>
      <c r="D169" s="16" t="s">
        <v>42</v>
      </c>
      <c r="E169" s="18" t="s">
        <v>247</v>
      </c>
      <c r="F169" s="75" t="s">
        <v>263</v>
      </c>
      <c r="G169" s="18" t="s">
        <v>43</v>
      </c>
      <c r="H169" s="87" t="s">
        <v>634</v>
      </c>
      <c r="I169" s="138">
        <v>748</v>
      </c>
      <c r="J169" s="139"/>
      <c r="K169" s="140">
        <v>62.1</v>
      </c>
      <c r="L169" s="141"/>
      <c r="M169" s="171">
        <v>158</v>
      </c>
      <c r="N169" s="182">
        <v>218</v>
      </c>
      <c r="O169" s="104">
        <f>(748-600)*70.53*0.3%</f>
        <v>31.315320000000003</v>
      </c>
      <c r="P169" s="104">
        <f>(62.1-20-7-7-7-7)*5.04</f>
        <v>71.064000000000007</v>
      </c>
      <c r="Q169" s="94">
        <f t="shared" si="4"/>
        <v>126.68468</v>
      </c>
      <c r="R169" s="94">
        <f t="shared" si="5"/>
        <v>146.93599999999998</v>
      </c>
    </row>
    <row r="170" spans="1:18" ht="15" customHeight="1">
      <c r="A170" s="21"/>
      <c r="B170" s="18" t="s">
        <v>246</v>
      </c>
      <c r="C170" s="58"/>
      <c r="D170" s="16" t="s">
        <v>44</v>
      </c>
      <c r="E170" s="18" t="s">
        <v>261</v>
      </c>
      <c r="F170" s="75" t="s">
        <v>264</v>
      </c>
      <c r="G170" s="18" t="s">
        <v>481</v>
      </c>
      <c r="H170" s="87"/>
      <c r="I170" s="138"/>
      <c r="J170" s="139"/>
      <c r="K170" s="140"/>
      <c r="L170" s="141"/>
      <c r="M170" s="171"/>
      <c r="N170" s="182"/>
      <c r="O170" s="107"/>
      <c r="P170" s="107"/>
      <c r="Q170" s="94"/>
      <c r="R170" s="94"/>
    </row>
    <row r="171" spans="1:18">
      <c r="A171" s="21"/>
      <c r="B171" s="18"/>
      <c r="C171" s="58"/>
      <c r="D171" s="16" t="s">
        <v>54</v>
      </c>
      <c r="E171" s="18" t="s">
        <v>262</v>
      </c>
      <c r="F171" s="75" t="s">
        <v>265</v>
      </c>
      <c r="G171" s="88"/>
      <c r="H171" s="87"/>
      <c r="I171" s="138"/>
      <c r="J171" s="139"/>
      <c r="K171" s="140"/>
      <c r="L171" s="141"/>
      <c r="M171" s="171"/>
      <c r="N171" s="182"/>
      <c r="O171" s="107"/>
      <c r="P171" s="107"/>
      <c r="Q171" s="94"/>
      <c r="R171" s="94"/>
    </row>
    <row r="172" spans="1:18">
      <c r="A172" s="21"/>
      <c r="B172" s="18"/>
      <c r="C172" s="58"/>
      <c r="D172" s="16" t="s">
        <v>66</v>
      </c>
      <c r="E172" s="19" t="s">
        <v>1</v>
      </c>
      <c r="F172" s="75" t="s">
        <v>397</v>
      </c>
      <c r="G172" s="18"/>
      <c r="H172" s="87"/>
      <c r="I172" s="138"/>
      <c r="J172" s="139"/>
      <c r="K172" s="140"/>
      <c r="L172" s="141"/>
      <c r="M172" s="171"/>
      <c r="N172" s="182"/>
      <c r="O172" s="107"/>
      <c r="P172" s="107"/>
      <c r="Q172" s="94"/>
      <c r="R172" s="94"/>
    </row>
    <row r="173" spans="1:18" ht="25.5">
      <c r="A173" s="21">
        <v>53</v>
      </c>
      <c r="B173" s="19" t="s">
        <v>170</v>
      </c>
      <c r="C173" s="58">
        <v>4</v>
      </c>
      <c r="D173" s="16">
        <v>1</v>
      </c>
      <c r="E173" s="18" t="s">
        <v>171</v>
      </c>
      <c r="F173" s="75" t="s">
        <v>286</v>
      </c>
      <c r="G173" s="18" t="s">
        <v>43</v>
      </c>
      <c r="H173" s="87" t="s">
        <v>635</v>
      </c>
      <c r="I173" s="138">
        <v>504</v>
      </c>
      <c r="J173" s="139"/>
      <c r="K173" s="140">
        <v>57</v>
      </c>
      <c r="L173" s="141"/>
      <c r="M173" s="171">
        <v>291</v>
      </c>
      <c r="N173" s="182">
        <v>0</v>
      </c>
      <c r="O173" s="104">
        <v>0</v>
      </c>
      <c r="P173" s="104">
        <f>(57-20-7-7-7-7)*5.04</f>
        <v>45.36</v>
      </c>
      <c r="Q173" s="94">
        <f t="shared" si="4"/>
        <v>291</v>
      </c>
      <c r="R173" s="94">
        <v>0</v>
      </c>
    </row>
    <row r="174" spans="1:18">
      <c r="A174" s="21"/>
      <c r="B174" s="18" t="s">
        <v>283</v>
      </c>
      <c r="C174" s="58"/>
      <c r="D174" s="16">
        <v>2</v>
      </c>
      <c r="E174" s="18" t="s">
        <v>172</v>
      </c>
      <c r="F174" s="75" t="s">
        <v>173</v>
      </c>
      <c r="G174" s="18" t="s">
        <v>287</v>
      </c>
      <c r="H174" s="87"/>
      <c r="I174" s="138"/>
      <c r="J174" s="139"/>
      <c r="K174" s="140"/>
      <c r="L174" s="141"/>
      <c r="M174" s="171"/>
      <c r="N174" s="182"/>
      <c r="O174" s="107"/>
      <c r="P174" s="107"/>
      <c r="Q174" s="94"/>
      <c r="R174" s="94"/>
    </row>
    <row r="175" spans="1:18">
      <c r="A175" s="21"/>
      <c r="B175" s="18"/>
      <c r="C175" s="58"/>
      <c r="D175" s="16">
        <v>3</v>
      </c>
      <c r="E175" s="18" t="s">
        <v>284</v>
      </c>
      <c r="F175" s="75" t="s">
        <v>174</v>
      </c>
      <c r="G175" s="88"/>
      <c r="H175" s="87"/>
      <c r="I175" s="138"/>
      <c r="J175" s="139"/>
      <c r="K175" s="140"/>
      <c r="L175" s="141"/>
      <c r="M175" s="171"/>
      <c r="N175" s="182"/>
      <c r="O175" s="107"/>
      <c r="P175" s="107"/>
      <c r="Q175" s="94"/>
      <c r="R175" s="94"/>
    </row>
    <row r="176" spans="1:18">
      <c r="A176" s="21"/>
      <c r="B176" s="18"/>
      <c r="C176" s="58"/>
      <c r="D176" s="16">
        <v>4</v>
      </c>
      <c r="E176" s="18" t="s">
        <v>285</v>
      </c>
      <c r="F176" s="75" t="s">
        <v>175</v>
      </c>
      <c r="G176" s="18"/>
      <c r="H176" s="87"/>
      <c r="I176" s="138"/>
      <c r="J176" s="139"/>
      <c r="K176" s="140"/>
      <c r="L176" s="141"/>
      <c r="M176" s="171"/>
      <c r="N176" s="182"/>
      <c r="O176" s="107"/>
      <c r="P176" s="107"/>
      <c r="Q176" s="94"/>
      <c r="R176" s="94"/>
    </row>
    <row r="177" spans="1:18" ht="30" customHeight="1">
      <c r="A177" s="21">
        <v>54</v>
      </c>
      <c r="B177" s="19" t="s">
        <v>124</v>
      </c>
      <c r="C177" s="58">
        <v>4</v>
      </c>
      <c r="D177" s="16">
        <v>1</v>
      </c>
      <c r="E177" s="18" t="s">
        <v>125</v>
      </c>
      <c r="F177" s="75" t="s">
        <v>129</v>
      </c>
      <c r="G177" s="18" t="s">
        <v>43</v>
      </c>
      <c r="H177" s="87" t="s">
        <v>653</v>
      </c>
      <c r="I177" s="138">
        <v>1000</v>
      </c>
      <c r="J177" s="139"/>
      <c r="K177" s="147"/>
      <c r="L177" s="148"/>
      <c r="M177" s="171">
        <v>318</v>
      </c>
      <c r="N177" s="182">
        <v>0</v>
      </c>
      <c r="O177" s="104">
        <f>(1000-600)*70.53*0.3%</f>
        <v>84.635999999999996</v>
      </c>
      <c r="P177" s="107"/>
      <c r="Q177" s="94">
        <f t="shared" si="4"/>
        <v>233.364</v>
      </c>
      <c r="R177" s="94">
        <f t="shared" si="5"/>
        <v>0</v>
      </c>
    </row>
    <row r="178" spans="1:18">
      <c r="A178" s="21"/>
      <c r="B178" s="18" t="s">
        <v>123</v>
      </c>
      <c r="C178" s="58"/>
      <c r="D178" s="16">
        <v>2</v>
      </c>
      <c r="E178" s="18" t="s">
        <v>126</v>
      </c>
      <c r="F178" s="75" t="s">
        <v>130</v>
      </c>
      <c r="G178" s="18" t="s">
        <v>636</v>
      </c>
      <c r="H178" s="87"/>
      <c r="I178" s="138"/>
      <c r="J178" s="139"/>
      <c r="K178" s="140"/>
      <c r="L178" s="141"/>
      <c r="M178" s="171"/>
      <c r="N178" s="182"/>
      <c r="O178" s="107"/>
      <c r="P178" s="107"/>
      <c r="Q178" s="94"/>
      <c r="R178" s="94"/>
    </row>
    <row r="179" spans="1:18">
      <c r="A179" s="21"/>
      <c r="B179" s="18"/>
      <c r="C179" s="58"/>
      <c r="D179" s="16">
        <v>3</v>
      </c>
      <c r="E179" s="18" t="s">
        <v>127</v>
      </c>
      <c r="F179" s="75" t="s">
        <v>131</v>
      </c>
      <c r="G179" s="88"/>
      <c r="H179" s="87"/>
      <c r="I179" s="138"/>
      <c r="J179" s="139"/>
      <c r="K179" s="140"/>
      <c r="L179" s="141"/>
      <c r="M179" s="171"/>
      <c r="N179" s="182"/>
      <c r="O179" s="107"/>
      <c r="P179" s="107"/>
      <c r="Q179" s="94"/>
      <c r="R179" s="94"/>
    </row>
    <row r="180" spans="1:18">
      <c r="A180" s="21"/>
      <c r="B180" s="18"/>
      <c r="C180" s="58"/>
      <c r="D180" s="16">
        <v>4</v>
      </c>
      <c r="E180" s="18" t="s">
        <v>128</v>
      </c>
      <c r="F180" s="75" t="s">
        <v>132</v>
      </c>
      <c r="G180" s="18"/>
      <c r="H180" s="87"/>
      <c r="I180" s="138"/>
      <c r="J180" s="139"/>
      <c r="K180" s="140"/>
      <c r="L180" s="141"/>
      <c r="M180" s="171"/>
      <c r="N180" s="182"/>
      <c r="O180" s="107"/>
      <c r="P180" s="107"/>
      <c r="Q180" s="94"/>
      <c r="R180" s="94"/>
    </row>
    <row r="181" spans="1:18" ht="30" customHeight="1">
      <c r="A181" s="21">
        <v>55</v>
      </c>
      <c r="B181" s="18" t="s">
        <v>7</v>
      </c>
      <c r="C181" s="58">
        <v>4</v>
      </c>
      <c r="D181" s="16" t="s">
        <v>42</v>
      </c>
      <c r="E181" s="19" t="s">
        <v>9</v>
      </c>
      <c r="F181" s="77" t="s">
        <v>411</v>
      </c>
      <c r="G181" s="18" t="s">
        <v>43</v>
      </c>
      <c r="H181" s="87" t="s">
        <v>576</v>
      </c>
      <c r="I181" s="138">
        <v>1364</v>
      </c>
      <c r="J181" s="139"/>
      <c r="K181" s="140">
        <v>105.8</v>
      </c>
      <c r="L181" s="141"/>
      <c r="M181" s="171">
        <v>0</v>
      </c>
      <c r="N181" s="182">
        <v>0</v>
      </c>
      <c r="O181" s="104">
        <f>(1364-600)*70.53*0.3%</f>
        <v>161.65476000000001</v>
      </c>
      <c r="P181" s="104">
        <f>(105.8-20-7-7-7-7)*5.04</f>
        <v>291.31200000000001</v>
      </c>
      <c r="Q181" s="94">
        <v>0</v>
      </c>
      <c r="R181" s="94">
        <v>0</v>
      </c>
    </row>
    <row r="182" spans="1:18">
      <c r="A182" s="21"/>
      <c r="B182" s="18" t="s">
        <v>8</v>
      </c>
      <c r="C182" s="58"/>
      <c r="D182" s="16" t="s">
        <v>44</v>
      </c>
      <c r="E182" s="19" t="s">
        <v>10</v>
      </c>
      <c r="F182" s="77" t="s">
        <v>412</v>
      </c>
      <c r="G182" s="18" t="s">
        <v>637</v>
      </c>
      <c r="H182" s="87"/>
      <c r="I182" s="138"/>
      <c r="J182" s="139"/>
      <c r="K182" s="140"/>
      <c r="L182" s="141"/>
      <c r="M182" s="171"/>
      <c r="N182" s="182"/>
      <c r="O182" s="107"/>
      <c r="P182" s="107"/>
      <c r="Q182" s="94"/>
      <c r="R182" s="94"/>
    </row>
    <row r="183" spans="1:18">
      <c r="A183" s="21"/>
      <c r="B183" s="18"/>
      <c r="C183" s="58"/>
      <c r="D183" s="16" t="s">
        <v>54</v>
      </c>
      <c r="E183" s="37" t="s">
        <v>11</v>
      </c>
      <c r="F183" s="76" t="s">
        <v>12</v>
      </c>
      <c r="G183" s="88"/>
      <c r="H183" s="87"/>
      <c r="I183" s="138"/>
      <c r="J183" s="139"/>
      <c r="K183" s="140"/>
      <c r="L183" s="141"/>
      <c r="M183" s="171"/>
      <c r="N183" s="182"/>
      <c r="O183" s="107"/>
      <c r="P183" s="107"/>
      <c r="Q183" s="94"/>
      <c r="R183" s="94"/>
    </row>
    <row r="184" spans="1:18">
      <c r="A184" s="21"/>
      <c r="B184" s="18"/>
      <c r="C184" s="58"/>
      <c r="D184" s="28" t="s">
        <v>66</v>
      </c>
      <c r="E184" s="22" t="s">
        <v>553</v>
      </c>
      <c r="F184" s="80" t="s">
        <v>554</v>
      </c>
      <c r="G184" s="18"/>
      <c r="H184" s="87"/>
      <c r="I184" s="138"/>
      <c r="J184" s="139"/>
      <c r="K184" s="140"/>
      <c r="L184" s="141"/>
      <c r="M184" s="171"/>
      <c r="N184" s="182"/>
      <c r="O184" s="107"/>
      <c r="P184" s="107"/>
      <c r="Q184" s="94"/>
      <c r="R184" s="94"/>
    </row>
    <row r="185" spans="1:18" ht="25.5">
      <c r="A185" s="21">
        <v>56</v>
      </c>
      <c r="B185" s="19" t="s">
        <v>325</v>
      </c>
      <c r="C185" s="58">
        <v>4</v>
      </c>
      <c r="D185" s="16">
        <v>1</v>
      </c>
      <c r="E185" s="18" t="s">
        <v>327</v>
      </c>
      <c r="F185" s="75" t="s">
        <v>330</v>
      </c>
      <c r="G185" s="18" t="s">
        <v>43</v>
      </c>
      <c r="H185" s="87" t="s">
        <v>638</v>
      </c>
      <c r="I185" s="138">
        <v>1132</v>
      </c>
      <c r="J185" s="139"/>
      <c r="K185" s="140">
        <v>60.7</v>
      </c>
      <c r="L185" s="141"/>
      <c r="M185" s="171">
        <v>240</v>
      </c>
      <c r="N185" s="182">
        <v>300</v>
      </c>
      <c r="O185" s="104">
        <f>(1132-600)*70.53*0.3%</f>
        <v>112.56587999999999</v>
      </c>
      <c r="P185" s="104">
        <f>(60.7-20-7-7-7-7)*5.04</f>
        <v>64.00800000000001</v>
      </c>
      <c r="Q185" s="94">
        <f t="shared" si="4"/>
        <v>127.43412000000001</v>
      </c>
      <c r="R185" s="94">
        <f t="shared" si="5"/>
        <v>235.99199999999999</v>
      </c>
    </row>
    <row r="186" spans="1:18">
      <c r="A186" s="21"/>
      <c r="B186" s="18" t="s">
        <v>326</v>
      </c>
      <c r="C186" s="58"/>
      <c r="D186" s="16">
        <v>2</v>
      </c>
      <c r="E186" s="18" t="s">
        <v>328</v>
      </c>
      <c r="F186" s="75" t="s">
        <v>331</v>
      </c>
      <c r="G186" s="18" t="s">
        <v>334</v>
      </c>
      <c r="H186" s="87"/>
      <c r="I186" s="138"/>
      <c r="J186" s="139"/>
      <c r="K186" s="140"/>
      <c r="L186" s="141"/>
      <c r="M186" s="171"/>
      <c r="N186" s="182"/>
      <c r="O186" s="107"/>
      <c r="P186" s="107"/>
      <c r="Q186" s="94"/>
      <c r="R186" s="94"/>
    </row>
    <row r="187" spans="1:18">
      <c r="A187" s="21"/>
      <c r="B187" s="18"/>
      <c r="C187" s="58"/>
      <c r="D187" s="16">
        <v>3</v>
      </c>
      <c r="E187" s="18" t="s">
        <v>329</v>
      </c>
      <c r="F187" s="75" t="s">
        <v>333</v>
      </c>
      <c r="G187" s="88"/>
      <c r="H187" s="87"/>
      <c r="I187" s="138"/>
      <c r="J187" s="139"/>
      <c r="K187" s="140"/>
      <c r="L187" s="141"/>
      <c r="M187" s="171"/>
      <c r="N187" s="182"/>
      <c r="O187" s="107"/>
      <c r="P187" s="107"/>
      <c r="Q187" s="94"/>
      <c r="R187" s="94"/>
    </row>
    <row r="188" spans="1:18">
      <c r="A188" s="21"/>
      <c r="B188" s="18"/>
      <c r="C188" s="58"/>
      <c r="D188" s="16">
        <v>4</v>
      </c>
      <c r="E188" s="18" t="s">
        <v>332</v>
      </c>
      <c r="F188" s="75" t="s">
        <v>333</v>
      </c>
      <c r="G188" s="18"/>
      <c r="H188" s="87"/>
      <c r="I188" s="138"/>
      <c r="J188" s="139"/>
      <c r="K188" s="140"/>
      <c r="L188" s="141"/>
      <c r="M188" s="171"/>
      <c r="N188" s="182"/>
      <c r="O188" s="107"/>
      <c r="P188" s="107"/>
      <c r="Q188" s="94"/>
      <c r="R188" s="94"/>
    </row>
    <row r="189" spans="1:18" ht="25.5">
      <c r="A189" s="21">
        <v>57</v>
      </c>
      <c r="B189" s="19" t="s">
        <v>419</v>
      </c>
      <c r="C189" s="58">
        <v>4</v>
      </c>
      <c r="D189" s="16">
        <v>1</v>
      </c>
      <c r="E189" s="18" t="s">
        <v>420</v>
      </c>
      <c r="F189" s="75" t="s">
        <v>432</v>
      </c>
      <c r="G189" s="18" t="s">
        <v>43</v>
      </c>
      <c r="H189" s="87" t="s">
        <v>639</v>
      </c>
      <c r="I189" s="138">
        <v>868</v>
      </c>
      <c r="J189" s="139"/>
      <c r="K189" s="140">
        <v>60.7</v>
      </c>
      <c r="L189" s="141"/>
      <c r="M189" s="171"/>
      <c r="N189" s="182">
        <v>53</v>
      </c>
      <c r="O189" s="104">
        <f>(868-600)*70.53*0.3%</f>
        <v>56.706120000000006</v>
      </c>
      <c r="P189" s="104">
        <f>(60.7-20-7-7-7-7)*5.04</f>
        <v>64.00800000000001</v>
      </c>
      <c r="Q189" s="94">
        <v>0</v>
      </c>
      <c r="R189" s="94">
        <v>0</v>
      </c>
    </row>
    <row r="190" spans="1:18">
      <c r="A190" s="21"/>
      <c r="B190" s="19" t="s">
        <v>418</v>
      </c>
      <c r="C190" s="58"/>
      <c r="D190" s="16">
        <v>2</v>
      </c>
      <c r="E190" s="18" t="s">
        <v>421</v>
      </c>
      <c r="F190" s="75" t="s">
        <v>433</v>
      </c>
      <c r="G190" s="18" t="s">
        <v>456</v>
      </c>
      <c r="H190" s="87"/>
      <c r="I190" s="138"/>
      <c r="J190" s="139"/>
      <c r="K190" s="140"/>
      <c r="L190" s="141"/>
      <c r="M190" s="171"/>
      <c r="N190" s="182"/>
      <c r="O190" s="107"/>
      <c r="P190" s="107"/>
      <c r="Q190" s="94"/>
      <c r="R190" s="94"/>
    </row>
    <row r="191" spans="1:18">
      <c r="A191" s="21"/>
      <c r="B191" s="18"/>
      <c r="C191" s="58"/>
      <c r="D191" s="16">
        <v>3</v>
      </c>
      <c r="E191" s="19" t="s">
        <v>449</v>
      </c>
      <c r="F191" s="75" t="s">
        <v>450</v>
      </c>
      <c r="G191" s="88"/>
      <c r="H191" s="87"/>
      <c r="I191" s="138"/>
      <c r="J191" s="139"/>
      <c r="K191" s="140"/>
      <c r="L191" s="141"/>
      <c r="M191" s="171"/>
      <c r="N191" s="182"/>
      <c r="O191" s="107"/>
      <c r="P191" s="107"/>
      <c r="Q191" s="94"/>
      <c r="R191" s="94"/>
    </row>
    <row r="192" spans="1:18" ht="14.45" customHeight="1">
      <c r="A192" s="21"/>
      <c r="B192" s="18"/>
      <c r="C192" s="58"/>
      <c r="D192" s="16" t="s">
        <v>66</v>
      </c>
      <c r="E192" s="19" t="s">
        <v>449</v>
      </c>
      <c r="F192" s="75" t="s">
        <v>450</v>
      </c>
      <c r="G192" s="18"/>
      <c r="H192" s="87"/>
      <c r="I192" s="138"/>
      <c r="J192" s="139"/>
      <c r="K192" s="140"/>
      <c r="L192" s="141"/>
      <c r="M192" s="171"/>
      <c r="N192" s="182"/>
      <c r="O192" s="107"/>
      <c r="P192" s="107"/>
      <c r="Q192" s="94"/>
      <c r="R192" s="94"/>
    </row>
    <row r="193" spans="1:18" ht="25.5">
      <c r="A193" s="161">
        <v>58</v>
      </c>
      <c r="B193" s="43" t="s">
        <v>46</v>
      </c>
      <c r="C193" s="61">
        <v>5</v>
      </c>
      <c r="D193" s="34">
        <v>1</v>
      </c>
      <c r="E193" s="36" t="s">
        <v>47</v>
      </c>
      <c r="F193" s="17" t="s">
        <v>50</v>
      </c>
      <c r="G193" s="18" t="s">
        <v>43</v>
      </c>
      <c r="H193" s="87" t="s">
        <v>617</v>
      </c>
      <c r="I193" s="138">
        <v>2259</v>
      </c>
      <c r="J193" s="139"/>
      <c r="K193" s="140">
        <v>38.1</v>
      </c>
      <c r="L193" s="141"/>
      <c r="M193" s="171">
        <v>63</v>
      </c>
      <c r="N193" s="182">
        <v>0</v>
      </c>
      <c r="O193" s="104">
        <f>(2259-600)*70.53*0.3%</f>
        <v>351.02781000000004</v>
      </c>
      <c r="P193" s="104">
        <v>0</v>
      </c>
      <c r="Q193" s="94">
        <v>0</v>
      </c>
      <c r="R193" s="94">
        <f t="shared" si="5"/>
        <v>0</v>
      </c>
    </row>
    <row r="194" spans="1:18">
      <c r="A194" s="21"/>
      <c r="B194" s="18" t="s">
        <v>45</v>
      </c>
      <c r="C194" s="58"/>
      <c r="D194" s="16">
        <v>2</v>
      </c>
      <c r="E194" s="18" t="s">
        <v>348</v>
      </c>
      <c r="F194" s="17" t="s">
        <v>354</v>
      </c>
      <c r="G194" s="18" t="s">
        <v>616</v>
      </c>
      <c r="H194" s="87"/>
      <c r="I194" s="138"/>
      <c r="J194" s="139"/>
      <c r="K194" s="140"/>
      <c r="L194" s="141"/>
      <c r="M194" s="171"/>
      <c r="N194" s="182"/>
      <c r="O194" s="107"/>
      <c r="P194" s="107"/>
      <c r="Q194" s="94"/>
      <c r="R194" s="94"/>
    </row>
    <row r="195" spans="1:18">
      <c r="A195" s="21"/>
      <c r="B195" s="18"/>
      <c r="C195" s="58"/>
      <c r="D195" s="16">
        <v>3</v>
      </c>
      <c r="E195" s="18" t="s">
        <v>349</v>
      </c>
      <c r="F195" s="17" t="s">
        <v>51</v>
      </c>
      <c r="G195" s="88"/>
      <c r="H195" s="87"/>
      <c r="I195" s="138"/>
      <c r="J195" s="139"/>
      <c r="K195" s="140"/>
      <c r="L195" s="141"/>
      <c r="M195" s="171"/>
      <c r="N195" s="182"/>
      <c r="O195" s="107"/>
      <c r="P195" s="107"/>
      <c r="Q195" s="94"/>
      <c r="R195" s="94"/>
    </row>
    <row r="196" spans="1:18">
      <c r="A196" s="21"/>
      <c r="B196" s="18"/>
      <c r="C196" s="58"/>
      <c r="D196" s="16">
        <v>4</v>
      </c>
      <c r="E196" s="18" t="s">
        <v>48</v>
      </c>
      <c r="F196" s="17" t="s">
        <v>52</v>
      </c>
      <c r="G196" s="18"/>
      <c r="H196" s="87"/>
      <c r="I196" s="138"/>
      <c r="J196" s="139"/>
      <c r="K196" s="140"/>
      <c r="L196" s="141"/>
      <c r="M196" s="171"/>
      <c r="N196" s="182"/>
      <c r="O196" s="107"/>
      <c r="P196" s="107"/>
      <c r="Q196" s="94"/>
      <c r="R196" s="94"/>
    </row>
    <row r="197" spans="1:18">
      <c r="A197" s="21"/>
      <c r="B197" s="18"/>
      <c r="C197" s="58"/>
      <c r="D197" s="16">
        <v>5</v>
      </c>
      <c r="E197" s="18" t="s">
        <v>49</v>
      </c>
      <c r="F197" s="17" t="s">
        <v>53</v>
      </c>
      <c r="G197" s="18"/>
      <c r="H197" s="87"/>
      <c r="I197" s="138"/>
      <c r="J197" s="139"/>
      <c r="K197" s="140"/>
      <c r="L197" s="141"/>
      <c r="M197" s="171"/>
      <c r="N197" s="182"/>
      <c r="O197" s="107"/>
      <c r="P197" s="107"/>
      <c r="Q197" s="94"/>
      <c r="R197" s="94"/>
    </row>
    <row r="198" spans="1:18" ht="25.5">
      <c r="A198" s="21">
        <v>59</v>
      </c>
      <c r="B198" s="19" t="s">
        <v>358</v>
      </c>
      <c r="C198" s="58">
        <v>5</v>
      </c>
      <c r="D198" s="16">
        <v>1</v>
      </c>
      <c r="E198" s="18" t="s">
        <v>360</v>
      </c>
      <c r="F198" s="17" t="s">
        <v>365</v>
      </c>
      <c r="G198" s="18" t="s">
        <v>43</v>
      </c>
      <c r="H198" s="87" t="s">
        <v>618</v>
      </c>
      <c r="I198" s="138">
        <v>832</v>
      </c>
      <c r="J198" s="139"/>
      <c r="K198" s="140">
        <v>25.1</v>
      </c>
      <c r="L198" s="141"/>
      <c r="M198" s="171">
        <v>176</v>
      </c>
      <c r="N198" s="182">
        <v>0</v>
      </c>
      <c r="O198" s="104">
        <f>(832-600)*70.53*0.3%</f>
        <v>49.088880000000003</v>
      </c>
      <c r="P198" s="104">
        <v>0</v>
      </c>
      <c r="Q198" s="94">
        <f t="shared" si="4"/>
        <v>126.91112</v>
      </c>
      <c r="R198" s="94">
        <f t="shared" si="5"/>
        <v>0</v>
      </c>
    </row>
    <row r="199" spans="1:18">
      <c r="A199" s="21"/>
      <c r="B199" s="18" t="s">
        <v>359</v>
      </c>
      <c r="C199" s="58"/>
      <c r="D199" s="16">
        <v>2</v>
      </c>
      <c r="E199" s="18" t="s">
        <v>361</v>
      </c>
      <c r="F199" s="17" t="s">
        <v>366</v>
      </c>
      <c r="G199" s="18" t="s">
        <v>619</v>
      </c>
      <c r="H199" s="87"/>
      <c r="I199" s="138"/>
      <c r="J199" s="139"/>
      <c r="K199" s="140"/>
      <c r="L199" s="141"/>
      <c r="M199" s="171"/>
      <c r="N199" s="182"/>
      <c r="O199" s="107"/>
      <c r="P199" s="107"/>
      <c r="Q199" s="94"/>
      <c r="R199" s="94"/>
    </row>
    <row r="200" spans="1:18">
      <c r="A200" s="21"/>
      <c r="B200" s="18"/>
      <c r="C200" s="58"/>
      <c r="D200" s="16">
        <v>3</v>
      </c>
      <c r="E200" s="18" t="s">
        <v>362</v>
      </c>
      <c r="F200" s="17" t="s">
        <v>367</v>
      </c>
      <c r="G200" s="88"/>
      <c r="H200" s="87"/>
      <c r="I200" s="138"/>
      <c r="J200" s="139"/>
      <c r="K200" s="140"/>
      <c r="L200" s="141"/>
      <c r="M200" s="171"/>
      <c r="N200" s="182"/>
      <c r="O200" s="107"/>
      <c r="P200" s="107"/>
      <c r="Q200" s="94"/>
      <c r="R200" s="94"/>
    </row>
    <row r="201" spans="1:18">
      <c r="A201" s="21"/>
      <c r="B201" s="18"/>
      <c r="C201" s="58"/>
      <c r="D201" s="16">
        <v>4</v>
      </c>
      <c r="E201" s="18" t="s">
        <v>363</v>
      </c>
      <c r="F201" s="17" t="s">
        <v>368</v>
      </c>
      <c r="G201" s="18"/>
      <c r="H201" s="87"/>
      <c r="I201" s="138"/>
      <c r="J201" s="139"/>
      <c r="K201" s="140"/>
      <c r="L201" s="141"/>
      <c r="M201" s="171"/>
      <c r="N201" s="182"/>
      <c r="O201" s="107"/>
      <c r="P201" s="107"/>
      <c r="Q201" s="94"/>
      <c r="R201" s="94"/>
    </row>
    <row r="202" spans="1:18">
      <c r="A202" s="21"/>
      <c r="B202" s="18"/>
      <c r="C202" s="58"/>
      <c r="D202" s="16">
        <v>5</v>
      </c>
      <c r="E202" s="18" t="s">
        <v>364</v>
      </c>
      <c r="F202" s="17" t="s">
        <v>369</v>
      </c>
      <c r="G202" s="18"/>
      <c r="H202" s="87"/>
      <c r="I202" s="138"/>
      <c r="J202" s="139"/>
      <c r="K202" s="140"/>
      <c r="L202" s="141"/>
      <c r="M202" s="171"/>
      <c r="N202" s="182"/>
      <c r="O202" s="107"/>
      <c r="P202" s="107"/>
      <c r="Q202" s="94"/>
      <c r="R202" s="94"/>
    </row>
    <row r="203" spans="1:18" ht="25.5">
      <c r="A203" s="21">
        <v>60</v>
      </c>
      <c r="B203" s="19" t="s">
        <v>56</v>
      </c>
      <c r="C203" s="58">
        <v>5</v>
      </c>
      <c r="D203" s="16">
        <v>1</v>
      </c>
      <c r="E203" s="18" t="s">
        <v>57</v>
      </c>
      <c r="F203" s="17" t="s">
        <v>61</v>
      </c>
      <c r="G203" s="18" t="s">
        <v>43</v>
      </c>
      <c r="H203" s="87" t="s">
        <v>576</v>
      </c>
      <c r="I203" s="138">
        <v>665</v>
      </c>
      <c r="J203" s="139"/>
      <c r="K203" s="140">
        <v>37.4</v>
      </c>
      <c r="L203" s="141"/>
      <c r="M203" s="171">
        <v>28</v>
      </c>
      <c r="N203" s="182">
        <v>20</v>
      </c>
      <c r="O203" s="104">
        <f>(665-600)*70.53*0.3%</f>
        <v>13.753349999999999</v>
      </c>
      <c r="P203" s="104">
        <v>0</v>
      </c>
      <c r="Q203" s="94">
        <f t="shared" ref="Q203:Q208" si="6">M203-O203</f>
        <v>14.246650000000001</v>
      </c>
      <c r="R203" s="94">
        <f t="shared" ref="R203:R208" si="7">N203-P203</f>
        <v>20</v>
      </c>
    </row>
    <row r="204" spans="1:18">
      <c r="A204" s="21"/>
      <c r="B204" s="18" t="s">
        <v>55</v>
      </c>
      <c r="C204" s="58"/>
      <c r="D204" s="16">
        <v>2</v>
      </c>
      <c r="E204" s="18" t="s">
        <v>58</v>
      </c>
      <c r="F204" s="17" t="s">
        <v>62</v>
      </c>
      <c r="G204" s="18" t="s">
        <v>65</v>
      </c>
      <c r="H204" s="87"/>
      <c r="I204" s="138"/>
      <c r="J204" s="139"/>
      <c r="K204" s="140"/>
      <c r="L204" s="141"/>
      <c r="M204" s="171"/>
      <c r="N204" s="182"/>
      <c r="O204" s="107"/>
      <c r="P204" s="107"/>
      <c r="Q204" s="94"/>
      <c r="R204" s="94"/>
    </row>
    <row r="205" spans="1:18">
      <c r="A205" s="21"/>
      <c r="B205" s="18"/>
      <c r="C205" s="58"/>
      <c r="D205" s="16">
        <v>3</v>
      </c>
      <c r="E205" s="18" t="s">
        <v>59</v>
      </c>
      <c r="F205" s="17" t="s">
        <v>63</v>
      </c>
      <c r="G205" s="88"/>
      <c r="H205" s="87"/>
      <c r="I205" s="138"/>
      <c r="J205" s="139"/>
      <c r="K205" s="140"/>
      <c r="L205" s="141"/>
      <c r="M205" s="171"/>
      <c r="N205" s="182"/>
      <c r="O205" s="107"/>
      <c r="P205" s="107"/>
      <c r="Q205" s="94"/>
      <c r="R205" s="94"/>
    </row>
    <row r="206" spans="1:18">
      <c r="A206" s="21"/>
      <c r="B206" s="18"/>
      <c r="C206" s="58"/>
      <c r="D206" s="33">
        <v>4</v>
      </c>
      <c r="E206" s="37" t="s">
        <v>60</v>
      </c>
      <c r="F206" s="17" t="s">
        <v>64</v>
      </c>
      <c r="G206" s="18"/>
      <c r="H206" s="87"/>
      <c r="I206" s="138"/>
      <c r="J206" s="139"/>
      <c r="K206" s="140"/>
      <c r="L206" s="141"/>
      <c r="M206" s="171"/>
      <c r="N206" s="182"/>
      <c r="O206" s="107"/>
      <c r="P206" s="107"/>
      <c r="Q206" s="94"/>
      <c r="R206" s="94"/>
    </row>
    <row r="207" spans="1:18">
      <c r="A207" s="41"/>
      <c r="B207" s="37"/>
      <c r="C207" s="60"/>
      <c r="D207" s="33" t="s">
        <v>67</v>
      </c>
      <c r="E207" s="50" t="s">
        <v>502</v>
      </c>
      <c r="F207" s="39">
        <v>43005</v>
      </c>
      <c r="G207" s="18"/>
      <c r="H207" s="87"/>
      <c r="I207" s="138"/>
      <c r="J207" s="139"/>
      <c r="K207" s="140"/>
      <c r="L207" s="141"/>
      <c r="M207" s="171"/>
      <c r="N207" s="182"/>
      <c r="O207" s="107"/>
      <c r="P207" s="107"/>
      <c r="Q207" s="94"/>
      <c r="R207" s="94"/>
    </row>
    <row r="208" spans="1:18" ht="25.5">
      <c r="A208" s="21">
        <v>61</v>
      </c>
      <c r="B208" s="22" t="s">
        <v>142</v>
      </c>
      <c r="C208" s="58">
        <v>5</v>
      </c>
      <c r="D208" s="16" t="s">
        <v>42</v>
      </c>
      <c r="E208" s="22" t="s">
        <v>546</v>
      </c>
      <c r="F208" s="22" t="s">
        <v>547</v>
      </c>
      <c r="G208" s="18" t="s">
        <v>43</v>
      </c>
      <c r="H208" s="87" t="s">
        <v>620</v>
      </c>
      <c r="I208" s="138">
        <v>616</v>
      </c>
      <c r="J208" s="139"/>
      <c r="K208" s="140">
        <v>32.799999999999997</v>
      </c>
      <c r="L208" s="141"/>
      <c r="M208" s="171">
        <v>130</v>
      </c>
      <c r="N208" s="182">
        <v>0</v>
      </c>
      <c r="O208" s="104">
        <f>(616-600)*70.53*0.3%</f>
        <v>3.38544</v>
      </c>
      <c r="P208" s="104">
        <v>0</v>
      </c>
      <c r="Q208" s="94">
        <f t="shared" si="6"/>
        <v>126.61456</v>
      </c>
      <c r="R208" s="94">
        <f t="shared" si="7"/>
        <v>0</v>
      </c>
    </row>
    <row r="209" spans="1:18">
      <c r="A209" s="21"/>
      <c r="B209" s="22" t="s">
        <v>143</v>
      </c>
      <c r="C209" s="58"/>
      <c r="D209" s="16" t="s">
        <v>44</v>
      </c>
      <c r="E209" s="22" t="s">
        <v>145</v>
      </c>
      <c r="F209" s="22" t="s">
        <v>548</v>
      </c>
      <c r="G209" s="18" t="s">
        <v>552</v>
      </c>
      <c r="H209" s="87"/>
      <c r="I209" s="138"/>
      <c r="J209" s="139"/>
      <c r="K209" s="140"/>
      <c r="L209" s="141"/>
      <c r="M209" s="171"/>
      <c r="N209" s="182"/>
      <c r="O209" s="107"/>
      <c r="P209" s="107"/>
      <c r="Q209" s="107"/>
      <c r="R209" s="107"/>
    </row>
    <row r="210" spans="1:18">
      <c r="A210" s="21"/>
      <c r="B210" s="18"/>
      <c r="C210" s="58"/>
      <c r="D210" s="16" t="s">
        <v>54</v>
      </c>
      <c r="E210" s="22" t="s">
        <v>144</v>
      </c>
      <c r="F210" s="22" t="s">
        <v>549</v>
      </c>
      <c r="G210" s="88"/>
      <c r="H210" s="87"/>
      <c r="I210" s="138"/>
      <c r="J210" s="139"/>
      <c r="K210" s="140"/>
      <c r="L210" s="141"/>
      <c r="M210" s="171"/>
      <c r="N210" s="182"/>
      <c r="O210" s="107"/>
      <c r="P210" s="107"/>
      <c r="Q210" s="107"/>
      <c r="R210" s="107"/>
    </row>
    <row r="211" spans="1:18">
      <c r="A211" s="21"/>
      <c r="B211" s="18"/>
      <c r="C211" s="58"/>
      <c r="D211" s="16" t="s">
        <v>66</v>
      </c>
      <c r="E211" s="22" t="s">
        <v>146</v>
      </c>
      <c r="F211" s="22" t="s">
        <v>550</v>
      </c>
      <c r="G211" s="18"/>
      <c r="H211" s="87"/>
      <c r="I211" s="138"/>
      <c r="J211" s="139"/>
      <c r="K211" s="140"/>
      <c r="L211" s="141"/>
      <c r="M211" s="171"/>
      <c r="N211" s="182"/>
      <c r="O211" s="107"/>
      <c r="P211" s="107"/>
      <c r="Q211" s="107"/>
      <c r="R211" s="107"/>
    </row>
    <row r="212" spans="1:18">
      <c r="A212" s="21"/>
      <c r="B212" s="18"/>
      <c r="C212" s="58"/>
      <c r="D212" s="16" t="s">
        <v>67</v>
      </c>
      <c r="E212" s="22" t="s">
        <v>574</v>
      </c>
      <c r="F212" s="22" t="s">
        <v>551</v>
      </c>
      <c r="G212" s="18"/>
      <c r="H212" s="87"/>
      <c r="I212" s="138"/>
      <c r="J212" s="139"/>
      <c r="K212" s="140"/>
      <c r="L212" s="141"/>
      <c r="M212" s="171"/>
      <c r="N212" s="182"/>
      <c r="O212" s="107"/>
      <c r="P212" s="107"/>
      <c r="Q212" s="107"/>
      <c r="R212" s="107"/>
    </row>
    <row r="213" spans="1:18">
      <c r="A213" s="213" t="s">
        <v>658</v>
      </c>
      <c r="B213" s="214"/>
      <c r="C213" s="214"/>
      <c r="D213" s="214"/>
      <c r="E213" s="214"/>
      <c r="F213" s="214"/>
      <c r="G213" s="214"/>
      <c r="H213" s="215"/>
      <c r="I213" s="196">
        <f>SUM(I8:I212)</f>
        <v>49742</v>
      </c>
      <c r="J213" s="196">
        <f t="shared" ref="J213:P213" si="8">SUM(J8:J212)</f>
        <v>0</v>
      </c>
      <c r="K213" s="196">
        <f t="shared" si="8"/>
        <v>2941.88</v>
      </c>
      <c r="L213" s="196">
        <f t="shared" si="8"/>
        <v>226112.36</v>
      </c>
      <c r="M213" s="197">
        <f t="shared" si="8"/>
        <v>6910.3400099999999</v>
      </c>
      <c r="N213" s="198">
        <f t="shared" si="8"/>
        <v>4283.6229999999996</v>
      </c>
      <c r="O213" s="196">
        <f t="shared" si="8"/>
        <v>3383.3241000000003</v>
      </c>
      <c r="P213" s="196">
        <f t="shared" si="8"/>
        <v>3099.8329999999992</v>
      </c>
      <c r="Q213" s="196">
        <v>3527.0158999999999</v>
      </c>
      <c r="R213" s="196">
        <v>1183.79</v>
      </c>
    </row>
    <row r="214" spans="1:18" s="31" customFormat="1">
      <c r="A214" s="162"/>
      <c r="B214" s="45"/>
      <c r="C214" s="67"/>
      <c r="D214" s="47"/>
      <c r="E214" s="45"/>
      <c r="F214" s="46"/>
      <c r="G214" s="90"/>
      <c r="H214" s="72"/>
      <c r="I214" s="124"/>
      <c r="J214" s="124"/>
      <c r="K214" s="125"/>
      <c r="L214" s="126"/>
      <c r="M214" s="173"/>
      <c r="N214" s="184"/>
      <c r="O214" s="30"/>
      <c r="P214" s="30"/>
      <c r="Q214" s="30"/>
      <c r="R214" s="30"/>
    </row>
    <row r="215" spans="1:18" s="31" customFormat="1">
      <c r="A215" s="162"/>
      <c r="B215" s="45"/>
      <c r="C215" s="67"/>
      <c r="D215" s="47"/>
      <c r="E215" s="45"/>
      <c r="F215" s="46"/>
      <c r="G215" s="90"/>
      <c r="H215" s="72"/>
      <c r="I215" s="124"/>
      <c r="J215" s="124"/>
      <c r="K215" s="125"/>
      <c r="L215" s="126"/>
      <c r="M215" s="173"/>
      <c r="N215" s="184"/>
      <c r="O215" s="30"/>
      <c r="P215" s="30"/>
      <c r="Q215" s="30"/>
      <c r="R215" s="30"/>
    </row>
    <row r="216" spans="1:18" s="31" customFormat="1">
      <c r="A216" s="163"/>
      <c r="B216" s="10"/>
      <c r="C216" s="68"/>
      <c r="D216" s="15"/>
      <c r="E216" s="10" t="s">
        <v>666</v>
      </c>
      <c r="F216" s="5"/>
      <c r="G216" s="91"/>
      <c r="H216" s="72"/>
      <c r="I216" s="124"/>
      <c r="J216" s="124"/>
      <c r="K216" s="125"/>
      <c r="L216" s="126"/>
      <c r="M216" s="173"/>
      <c r="N216" s="184"/>
      <c r="O216" s="30"/>
      <c r="P216" s="30"/>
      <c r="Q216" s="30"/>
      <c r="R216" s="30"/>
    </row>
    <row r="217" spans="1:18" s="31" customFormat="1">
      <c r="A217" s="163"/>
      <c r="B217" s="12"/>
      <c r="C217" s="69"/>
      <c r="D217" s="2"/>
      <c r="E217"/>
      <c r="F217" s="5"/>
      <c r="G217" s="91"/>
      <c r="H217" s="72"/>
      <c r="I217" s="124"/>
      <c r="J217" s="124"/>
      <c r="K217" s="125"/>
      <c r="L217" s="126"/>
      <c r="M217" s="173"/>
      <c r="N217" s="184"/>
      <c r="O217" s="30"/>
      <c r="P217" s="30"/>
      <c r="Q217" s="30"/>
      <c r="R217" s="30"/>
    </row>
    <row r="218" spans="1:18">
      <c r="A218" s="163"/>
      <c r="B218" s="12"/>
      <c r="G218" s="91"/>
    </row>
    <row r="219" spans="1:18">
      <c r="A219" s="163"/>
      <c r="B219" s="12"/>
      <c r="C219" s="70"/>
      <c r="D219" s="13"/>
      <c r="E219" s="12"/>
      <c r="F219" s="14"/>
      <c r="G219" s="91"/>
    </row>
    <row r="220" spans="1:18">
      <c r="A220" s="163"/>
      <c r="B220" s="12"/>
      <c r="C220" s="70"/>
      <c r="D220" s="13"/>
      <c r="E220" s="12"/>
      <c r="F220" s="14"/>
      <c r="G220" s="91"/>
      <c r="H220"/>
      <c r="I220" s="121"/>
      <c r="J220" s="121"/>
      <c r="K220" s="121"/>
      <c r="L220" s="2"/>
    </row>
    <row r="221" spans="1:18">
      <c r="A221" s="162"/>
      <c r="F221" s="14"/>
      <c r="G221" s="91"/>
      <c r="H221"/>
      <c r="I221" s="121"/>
      <c r="J221" s="121"/>
      <c r="K221" s="121"/>
      <c r="L221" s="2"/>
    </row>
    <row r="222" spans="1:18">
      <c r="A222" s="162"/>
      <c r="H222"/>
      <c r="I222" s="121"/>
      <c r="J222" s="121"/>
      <c r="K222" s="121"/>
      <c r="L222" s="2"/>
    </row>
    <row r="223" spans="1:18">
      <c r="A223" s="162"/>
      <c r="H223"/>
      <c r="I223" s="121"/>
      <c r="J223" s="121"/>
      <c r="K223" s="121"/>
      <c r="L223" s="2"/>
    </row>
    <row r="224" spans="1:18">
      <c r="A224" s="162"/>
      <c r="H224"/>
      <c r="I224" s="121"/>
      <c r="J224" s="121"/>
      <c r="K224" s="121"/>
      <c r="L224" s="2"/>
    </row>
    <row r="225" spans="1:12">
      <c r="A225" s="162"/>
      <c r="H225"/>
      <c r="I225" s="121"/>
      <c r="J225" s="121"/>
      <c r="K225" s="121"/>
      <c r="L225" s="2"/>
    </row>
    <row r="226" spans="1:12">
      <c r="A226" s="162"/>
      <c r="H226"/>
      <c r="I226" s="121"/>
      <c r="J226" s="121"/>
      <c r="K226" s="121"/>
      <c r="L226" s="2"/>
    </row>
  </sheetData>
  <mergeCells count="16">
    <mergeCell ref="A213:H213"/>
    <mergeCell ref="A4:A5"/>
    <mergeCell ref="B4:B5"/>
    <mergeCell ref="C4:C5"/>
    <mergeCell ref="E4:E5"/>
    <mergeCell ref="F4:F5"/>
    <mergeCell ref="G4:G5"/>
    <mergeCell ref="H4:I5"/>
    <mergeCell ref="A3:K3"/>
    <mergeCell ref="S29:T29"/>
    <mergeCell ref="K4:K5"/>
    <mergeCell ref="A7:K7"/>
    <mergeCell ref="Q4:R4"/>
    <mergeCell ref="M4:N4"/>
    <mergeCell ref="O4:P4"/>
    <mergeCell ref="D6:F6"/>
  </mergeCells>
  <phoneticPr fontId="9" type="noConversion"/>
  <pageMargins left="0.70866141732283461" right="0.70866141732283461" top="0.74803149606299213" bottom="0.74803149606299213" header="0.31496062992125984" footer="0.31496062992125984"/>
  <pageSetup paperSize="9" scale="27" orientation="landscape" verticalDpi="300" r:id="rId1"/>
  <rowBreaks count="2" manualBreakCount="2">
    <brk id="114" max="17" man="1"/>
    <brk id="2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М-д</vt:lpstr>
      <vt:lpstr>'М-д'!Область_печати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2019-04-17T03:16:39Z</dcterms:modified>
</cp:coreProperties>
</file>